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codeName="ThisWorkbook" autoCompressPictures="0"/>
  <mc:AlternateContent xmlns:mc="http://schemas.openxmlformats.org/markup-compatibility/2006">
    <mc:Choice Requires="x15">
      <x15ac:absPath xmlns:x15ac="http://schemas.microsoft.com/office/spreadsheetml/2010/11/ac" url="C:\Users\MarioPortillo\Desktop\Conflict minerals\"/>
    </mc:Choice>
  </mc:AlternateContent>
  <xr:revisionPtr revIDLastSave="0" documentId="13_ncr:1_{9EFC5BD9-18EF-490A-BA85-E4A0891015A9}"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2868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6" i="5" l="1"/>
  <c r="T6" i="5"/>
  <c r="S7" i="5"/>
  <c r="T7" i="5"/>
  <c r="S8" i="5"/>
  <c r="T8" i="5"/>
  <c r="S9" i="5"/>
  <c r="T9" i="5"/>
  <c r="S10" i="5"/>
  <c r="T10" i="5"/>
  <c r="S11" i="5"/>
  <c r="T11" i="5"/>
  <c r="S12" i="5"/>
  <c r="T12" i="5"/>
  <c r="S13" i="5"/>
  <c r="T13" i="5"/>
  <c r="S14" i="5"/>
  <c r="T14" i="5"/>
  <c r="S15" i="5"/>
  <c r="T15" i="5"/>
  <c r="S16" i="5"/>
  <c r="T16" i="5"/>
  <c r="S17" i="5"/>
  <c r="T17" i="5"/>
  <c r="S18" i="5"/>
  <c r="T18" i="5"/>
  <c r="S19" i="5"/>
  <c r="T19" i="5"/>
  <c r="S20"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S5" i="5"/>
  <c r="T5" i="5"/>
  <c r="V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V6" i="5"/>
  <c r="V7" i="5"/>
  <c r="V8"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9" i="5"/>
  <c r="V10" i="5"/>
  <c r="V11" i="5"/>
  <c r="V12" i="5"/>
  <c r="V13" i="5"/>
  <c r="V14" i="5"/>
  <c r="V15" i="5"/>
  <c r="V16" i="5"/>
  <c r="V17" i="5"/>
  <c r="V18" i="5"/>
  <c r="V19" i="5"/>
  <c r="V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R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114" i="5"/>
  <c r="F118" i="5"/>
  <c r="R118" i="5"/>
  <c r="J118" i="5"/>
  <c r="X5"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R10" i="5"/>
  <c r="R13" i="5"/>
  <c r="R7" i="5"/>
  <c r="R17" i="5"/>
  <c r="G66" i="6"/>
  <c r="H66" i="6"/>
  <c r="C66" i="6"/>
  <c r="G67" i="6"/>
  <c r="H67" i="6"/>
  <c r="D67" i="6"/>
  <c r="G65" i="6"/>
  <c r="H65" i="6"/>
  <c r="C65" i="6"/>
  <c r="R12" i="5"/>
  <c r="R9" i="5"/>
  <c r="R8" i="5"/>
  <c r="R15" i="5"/>
  <c r="R11" i="5"/>
  <c r="R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<sst xmlns="http://schemas.openxmlformats.org/spreadsheetml/2006/main" count="22706" uniqueCount="15903">
  <si>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</si>
  <si>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</si>
  <si>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</si>
  <si>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</si>
  <si>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</si>
  <si>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</si>
  <si>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</si>
  <si>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</si>
  <si>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</si>
  <si>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</si>
  <si>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</si>
  <si>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</si>
  <si>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</si>
  <si>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</si>
  <si>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</si>
  <si>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</si>
  <si>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</si>
  <si>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</si>
  <si>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</si>
  <si>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</si>
  <si>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</si>
  <si>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</si>
  <si>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</si>
  <si>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</si>
  <si>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</si>
  <si>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</si>
  <si>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</si>
  <si>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</si>
  <si>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</si>
  <si>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</si>
  <si>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</si>
  <si>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</si>
  <si>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</si>
  <si>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</si>
  <si>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</si>
  <si>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</si>
  <si>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</si>
  <si>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</si>
  <si>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</si>
  <si>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</si>
  <si>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</si>
  <si>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</si>
  <si>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</si>
  <si>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</si>
  <si>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</si>
  <si>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</si>
  <si>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</si>
  <si>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</si>
  <si>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</si>
  <si>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</si>
  <si>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</si>
  <si>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</si>
  <si>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</si>
  <si>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</si>
  <si>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</si>
  <si>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</si>
  <si>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</si>
  <si>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</si>
  <si>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</si>
  <si>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</si>
  <si>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</si>
  <si>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</si>
  <si>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</si>
  <si>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</si>
  <si>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</si>
  <si>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</si>
  <si>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</si>
  <si>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</si>
  <si>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</si>
  <si>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</si>
  <si>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</si>
  <si>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</si>
  <si>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</si>
  <si>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</si>
  <si>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</si>
  <si>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</si>
  <si>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</si>
  <si>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</si>
  <si>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</si>
  <si>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</si>
  <si>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</si>
  <si>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</si>
  <si>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</si>
  <si>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</si>
  <si>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</si>
  <si>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</si>
  <si>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</si>
  <si>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</si>
  <si>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</si>
  <si>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</si>
  <si>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</si>
  <si>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</si>
  <si>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</si>
  <si>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</si>
  <si>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</si>
  <si>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</si>
  <si>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</si>
  <si>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</si>
  <si>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</si>
  <si>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</si>
  <si>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</si>
  <si>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</si>
  <si>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</si>
  <si>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</si>
  <si>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</si>
  <si>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</si>
  <si>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</si>
  <si>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</si>
  <si>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</si>
  <si>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</si>
  <si>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</si>
  <si>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</si>
  <si>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</si>
  <si>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</si>
  <si>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</si>
  <si>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</si>
  <si>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</si>
  <si>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</si>
  <si>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</si>
  <si>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</si>
  <si>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</si>
  <si>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</si>
  <si>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</si>
  <si>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</si>
  <si>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</si>
  <si>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</si>
  <si>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</si>
  <si>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</si>
  <si>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</si>
  <si>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</si>
  <si>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</si>
  <si>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</si>
  <si>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</si>
  <si>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</si>
  <si>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</si>
  <si>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</si>
  <si>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</si>
  <si>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</si>
  <si>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</si>
  <si>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</si>
  <si>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</si>
  <si>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</si>
  <si>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</si>
  <si>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</si>
  <si>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</si>
  <si>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</si>
  <si>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</si>
  <si>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</si>
  <si>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</si>
  <si>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</si>
  <si>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</si>
  <si>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</si>
  <si>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</si>
  <si>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</si>
  <si>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</si>
  <si>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</si>
  <si>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</si>
  <si>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</si>
  <si>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</si>
  <si>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</si>
  <si>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</si>
  <si>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</si>
  <si>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</si>
  <si>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</si>
  <si>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</si>
  <si>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</si>
  <si>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</si>
  <si>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</si>
  <si>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</si>
  <si>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</si>
  <si>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</si>
  <si>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</si>
  <si>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</si>
  <si>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</si>
  <si>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</si>
  <si>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</si>
  <si>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</si>
  <si>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</si>
  <si>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</si>
  <si>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</si>
  <si>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</si>
  <si>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</si>
  <si>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</si>
  <si>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</si>
  <si>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</si>
  <si>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</si>
  <si>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</si>
  <si>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</si>
  <si>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</si>
  <si>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</si>
  <si>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</si>
  <si>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</si>
  <si>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</si>
  <si>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</si>
  <si>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</si>
  <si>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</si>
  <si>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</si>
  <si>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</si>
  <si>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</si>
  <si>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</si>
  <si>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</si>
  <si>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</si>
  <si>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</si>
  <si>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</si>
  <si>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</si>
  <si>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</si>
  <si>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</si>
  <si>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</si>
  <si>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</si>
  <si>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</si>
  <si>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</si>
  <si>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</si>
  <si>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</si>
  <si>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</si>
  <si>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</si>
  <si>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</si>
  <si>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</si>
  <si>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</si>
  <si>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</si>
  <si>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</si>
  <si>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</si>
  <si>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</si>
  <si>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</si>
  <si>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</si>
  <si>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</si>
  <si>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</si>
  <si>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</si>
  <si>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</si>
  <si>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</si>
  <si>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</si>
  <si>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</si>
  <si>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</si>
  <si>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</si>
  <si>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</si>
  <si>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</si>
  <si>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</si>
  <si>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</si>
  <si>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</si>
  <si>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</si>
  <si>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</si>
  <si>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</si>
  <si>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</si>
  <si>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</si>
  <si>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</si>
  <si>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</si>
  <si>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</si>
  <si>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</si>
  <si>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</si>
  <si>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</si>
  <si>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</si>
  <si>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</si>
  <si>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</si>
  <si>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</si>
  <si>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</si>
  <si>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</si>
  <si>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</si>
  <si>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</si>
  <si>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</si>
  <si>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</si>
  <si>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</si>
  <si>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</si>
  <si>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</si>
  <si>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</si>
  <si>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</si>
  <si>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</si>
  <si>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</si>
  <si>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</si>
  <si>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</si>
  <si>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</si>
  <si>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</si>
  <si>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</si>
  <si>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</si>
  <si>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</si>
  <si>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</si>
  <si>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</si>
  <si>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</si>
  <si>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</si>
  <si>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</si>
  <si>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</si>
  <si>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</si>
  <si>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</si>
  <si>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</si>
  <si>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</si>
  <si>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</si>
  <si>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</si>
  <si>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</si>
  <si>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</si>
  <si>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</si>
  <si>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</si>
  <si>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</si>
  <si>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</si>
  <si>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</si>
  <si>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</si>
  <si>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</si>
  <si>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</si>
  <si>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</si>
  <si>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</si>
  <si>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</si>
  <si>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</si>
  <si>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</si>
  <si>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</si>
  <si>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</si>
  <si>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</si>
  <si>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</si>
  <si>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</si>
  <si>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</si>
  <si>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</si>
  <si>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</si>
  <si>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</si>
  <si>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</si>
  <si>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</si>
  <si>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</si>
  <si>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</si>
  <si>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</si>
  <si>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</si>
  <si>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</si>
  <si>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</si>
  <si>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</si>
  <si>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</si>
  <si>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</si>
  <si>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</si>
  <si>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</si>
  <si>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</si>
  <si>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</si>
  <si>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</si>
  <si>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</si>
  <si>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</si>
  <si>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</si>
  <si>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</si>
  <si>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</si>
  <si>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</si>
  <si>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</si>
  <si>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</si>
  <si>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</si>
  <si>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</si>
  <si>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</si>
  <si>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</si>
  <si>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</si>
  <si>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</si>
  <si>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</si>
  <si>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</si>
  <si>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</si>
  <si>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</si>
  <si>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</si>
  <si>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</si>
  <si>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</si>
  <si>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</si>
  <si>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</si>
  <si>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</si>
  <si>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</si>
  <si>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</si>
  <si>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</si>
  <si>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</si>
  <si>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</si>
  <si>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</si>
  <si>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</si>
  <si>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</si>
  <si>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</si>
  <si>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</si>
  <si>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</si>
  <si>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</si>
  <si>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</si>
  <si>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</si>
  <si>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</si>
  <si>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</si>
  <si>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</si>
  <si>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</si>
  <si>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</si>
  <si>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</si>
  <si>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</si>
  <si>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</si>
  <si>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</si>
  <si>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</si>
  <si>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</si>
  <si>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</si>
  <si>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</si>
  <si>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</si>
  <si>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</si>
  <si>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</si>
  <si>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</si>
  <si>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</si>
  <si>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</si>
  <si>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</si>
  <si>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</si>
  <si>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</si>
  <si>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</si>
  <si>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</si>
  <si>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</si>
  <si>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</si>
  <si>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</si>
  <si>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</si>
  <si>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</si>
  <si>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</si>
  <si>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</si>
  <si>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</si>
  <si>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</si>
  <si>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</si>
  <si>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</si>
  <si>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</si>
  <si>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</si>
  <si>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</si>
  <si>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</si>
  <si>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</si>
  <si>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</si>
  <si>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</si>
  <si>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</si>
  <si>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</si>
  <si>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</si>
  <si>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</si>
  <si>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</si>
  <si>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</si>
  <si>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</si>
  <si>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</si>
  <si>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</si>
  <si>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</si>
  <si>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</si>
  <si>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</si>
  <si>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</si>
  <si>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</si>
  <si>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</si>
  <si>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</si>
  <si>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</si>
  <si>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</si>
  <si>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</si>
  <si>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</si>
  <si>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</si>
  <si>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</si>
  <si>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</si>
  <si>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</si>
  <si>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</si>
  <si>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</si>
  <si>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</si>
  <si>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</si>
  <si>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</si>
  <si>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</si>
  <si>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</si>
  <si>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</si>
  <si>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</si>
  <si>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</si>
  <si>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</si>
  <si>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</si>
  <si>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</si>
  <si>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</si>
  <si>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</si>
  <si>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</si>
  <si>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</si>
  <si>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</si>
  <si>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</si>
  <si>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</si>
  <si>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</si>
  <si>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</si>
  <si>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</si>
  <si>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</si>
  <si>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</si>
  <si>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</si>
  <si>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</si>
  <si>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</si>
  <si>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</si>
  <si>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</si>
  <si>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</si>
  <si>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</si>
  <si>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</si>
  <si>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</si>
  <si>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</si>
  <si>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</si>
  <si>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</si>
  <si>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</si>
  <si>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</si>
  <si>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</si>
  <si>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</si>
  <si>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</si>
  <si>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</si>
  <si>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</si>
  <si>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</si>
  <si>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</si>
  <si>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</si>
  <si>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</si>
  <si>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</si>
  <si>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</si>
  <si>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</si>
  <si>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</si>
  <si>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</si>
  <si>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</si>
  <si>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</si>
  <si>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</si>
  <si>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</si>
  <si>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</si>
  <si>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</si>
  <si>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</si>
  <si>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</si>
  <si>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</si>
  <si>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</si>
  <si>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</si>
  <si>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</si>
  <si>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</si>
  <si>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</si>
  <si>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</si>
  <si>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</si>
  <si>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</si>
  <si>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</si>
  <si>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</si>
  <si>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</si>
  <si>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</si>
  <si>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</si>
  <si>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</si>
  <si>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</si>
  <si>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</si>
  <si>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</si>
  <si>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</si>
  <si>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</si>
  <si>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</si>
  <si>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</si>
  <si>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</si>
  <si>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</si>
  <si>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</si>
  <si>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</si>
  <si>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</si>
  <si>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</si>
  <si>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</si>
  <si>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</si>
  <si>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</si>
  <si>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</si>
  <si>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</si>
  <si>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</si>
  <si>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</si>
  <si>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</si>
  <si>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</si>
  <si>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</si>
  <si>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</si>
  <si>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</si>
  <si>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</si>
  <si>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</si>
  <si>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</si>
  <si>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</si>
  <si>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</si>
  <si>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</si>
  <si>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</si>
  <si>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</si>
  <si>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</si>
  <si>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</si>
  <si>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</si>
  <si>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</si>
  <si>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</si>
  <si>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</si>
  <si>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</si>
  <si>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</si>
  <si>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</si>
  <si>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</si>
  <si>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</si>
  <si>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</si>
  <si>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</si>
  <si>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</si>
  <si>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</si>
  <si>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</si>
  <si>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</si>
  <si>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</si>
  <si>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</si>
  <si>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</si>
  <si>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</si>
  <si>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</si>
  <si>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</si>
  <si>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</si>
  <si>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</si>
  <si>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</si>
  <si>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</si>
  <si>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</si>
  <si>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</si>
  <si>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</si>
  <si>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</si>
  <si>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</si>
  <si>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</si>
  <si>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</si>
  <si>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</si>
  <si>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</si>
  <si>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</si>
  <si>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</si>
  <si>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</si>
  <si>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</si>
  <si>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</si>
  <si>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</si>
  <si>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</si>
  <si>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</si>
  <si>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</si>
  <si>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</si>
  <si>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</si>
  <si>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</si>
  <si>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</si>
  <si>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</si>
  <si>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</si>
  <si>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</si>
  <si>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</si>
  <si>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</si>
  <si>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</si>
  <si>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</si>
  <si>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</si>
  <si>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</si>
  <si>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</si>
  <si>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</si>
  <si>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</si>
  <si>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</si>
  <si>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</si>
  <si>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</si>
  <si>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</si>
  <si>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</si>
  <si>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</si>
  <si>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</si>
  <si>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</si>
  <si>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</si>
  <si>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</si>
  <si>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</si>
  <si>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</si>
  <si>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</si>
  <si>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</si>
  <si>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</si>
  <si>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</si>
  <si>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</si>
  <si>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</si>
  <si>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</si>
  <si>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</si>
  <si>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</si>
  <si>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</si>
  <si>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</si>
  <si>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</si>
  <si>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</si>
  <si>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</si>
  <si>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</si>
  <si>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</si>
  <si>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</si>
  <si>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</si>
  <si>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</si>
  <si>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</si>
  <si>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</si>
  <si>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</si>
  <si>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</si>
  <si>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</si>
  <si>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</si>
  <si>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</si>
  <si>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</si>
  <si>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</si>
  <si>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</si>
  <si>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</si>
  <si>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</si>
  <si>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</si>
  <si>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</si>
  <si>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</si>
  <si>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</si>
  <si>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</si>
  <si>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</si>
  <si>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</si>
  <si>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</si>
  <si>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</si>
  <si>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</si>
  <si>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</si>
  <si>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</si>
  <si>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</si>
  <si>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</si>
  <si>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</si>
  <si>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</si>
  <si>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</si>
  <si>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</si>
  <si>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</si>
  <si>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</si>
  <si>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</si>
  <si>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</si>
  <si>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</si>
  <si>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</si>
  <si>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</si>
  <si>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</si>
  <si>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</si>
  <si>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</si>
  <si>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</si>
  <si>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</si>
  <si>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</si>
  <si>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</si>
  <si>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</si>
  <si>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</si>
  <si>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</si>
  <si>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</si>
  <si>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</si>
  <si>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</si>
  <si>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</si>
  <si>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</si>
  <si>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</si>
  <si>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</si>
  <si>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</si>
  <si>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</si>
  <si>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</si>
  <si>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</si>
  <si>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</si>
  <si>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</si>
  <si>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</si>
  <si>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</si>
  <si>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</si>
  <si>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</si>
  <si>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</si>
  <si>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</si>
  <si>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</si>
  <si>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</si>
  <si>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</si>
  <si>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</si>
  <si>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</si>
  <si>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</si>
  <si>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</si>
  <si>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</si>
  <si>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</si>
  <si>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</si>
  <si>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</si>
  <si>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</si>
  <si>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</si>
  <si>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</si>
  <si>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</si>
  <si>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</si>
  <si>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</si>
  <si>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</si>
  <si>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</si>
  <si>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</si>
  <si>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</si>
  <si>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</si>
  <si>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</si>
  <si>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</si>
  <si>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</si>
  <si>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</si>
  <si>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</si>
  <si>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</si>
  <si>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</si>
  <si>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</si>
  <si>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</si>
  <si>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</si>
  <si>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</si>
  <si>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</si>
  <si>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</si>
  <si>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</si>
  <si>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</si>
  <si>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</si>
  <si>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</si>
  <si>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</si>
  <si>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</si>
  <si>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</si>
  <si>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</si>
  <si>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</si>
  <si>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</si>
  <si>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</si>
  <si>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</si>
  <si>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</si>
  <si>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</si>
  <si>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</si>
  <si>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</si>
  <si>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</si>
  <si>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</si>
  <si>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</si>
  <si>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</si>
  <si>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</si>
  <si>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</si>
  <si>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</si>
  <si>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</si>
  <si>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</si>
  <si>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</si>
  <si>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</si>
  <si>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</si>
  <si>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</si>
  <si>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</si>
  <si>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</si>
  <si>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</si>
  <si>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</si>
  <si>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</si>
  <si>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</si>
  <si>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</si>
  <si>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</si>
  <si>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</si>
  <si>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</si>
  <si>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</si>
  <si>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</si>
  <si>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</si>
  <si>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</si>
  <si>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</si>
  <si>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</si>
  <si>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</si>
  <si>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</si>
  <si>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</si>
  <si>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</si>
  <si>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</si>
  <si>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</si>
  <si>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</si>
  <si>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</si>
  <si>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</si>
  <si>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</si>
  <si>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</si>
  <si>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</si>
  <si>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</si>
  <si>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</si>
  <si>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</si>
  <si>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</si>
  <si>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</si>
  <si>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</si>
  <si>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</si>
  <si>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</si>
  <si>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</si>
  <si>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</si>
  <si>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</si>
  <si>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</si>
  <si>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</si>
  <si>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</si>
  <si>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</si>
  <si>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</si>
  <si>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</si>
  <si>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</si>
  <si>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</si>
  <si>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</si>
  <si>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</si>
  <si>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</si>
  <si>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</si>
  <si>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</si>
  <si>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</si>
  <si>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</si>
  <si>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</si>
  <si>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</si>
  <si>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</si>
  <si>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</si>
  <si>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</si>
  <si>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</si>
  <si>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</si>
  <si>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</si>
  <si>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</si>
  <si>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</si>
  <si>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</si>
  <si>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</si>
  <si>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</si>
  <si>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</si>
  <si>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</si>
  <si>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</si>
  <si>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</si>
  <si>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</si>
  <si>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</si>
  <si>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</si>
  <si>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</si>
  <si>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</si>
  <si>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</si>
  <si>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</si>
  <si>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</si>
  <si>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</si>
  <si>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</si>
  <si>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</si>
  <si>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</si>
  <si>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</si>
  <si>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</si>
  <si>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</si>
  <si>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</si>
  <si>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</si>
  <si>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</si>
  <si>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</si>
  <si>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</si>
  <si>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</si>
  <si>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</si>
  <si>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</si>
  <si>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</si>
  <si>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</si>
  <si>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</si>
  <si>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</si>
  <si>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</si>
  <si>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</si>
  <si>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</si>
  <si>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</si>
  <si>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</si>
  <si>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</si>
  <si>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</si>
  <si>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</si>
  <si>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</si>
  <si>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</si>
  <si>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</si>
  <si>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</si>
  <si>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</si>
  <si>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</si>
  <si>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</si>
  <si>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</si>
  <si>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</si>
  <si>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</si>
  <si>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</si>
  <si>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</si>
  <si>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</si>
  <si>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</si>
  <si>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</si>
  <si>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</si>
  <si>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</si>
  <si>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</si>
  <si>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</si>
  <si>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</si>
  <si>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</si>
  <si>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</si>
  <si>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</si>
  <si>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</si>
  <si>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</si>
  <si>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</si>
  <si>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</si>
  <si>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</si>
  <si>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</si>
  <si>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</si>
  <si>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</si>
  <si>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</si>
  <si>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</si>
  <si>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</si>
  <si>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</si>
  <si>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</si>
  <si>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</si>
  <si>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</si>
  <si>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</si>
  <si>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</si>
  <si>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</si>
  <si>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</si>
  <si>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</si>
  <si>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</si>
  <si>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</si>
  <si>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</si>
  <si>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</si>
  <si>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</si>
  <si>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</si>
  <si>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</si>
  <si>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</si>
  <si>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</si>
  <si>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</si>
  <si>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</si>
  <si>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</si>
  <si>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</si>
  <si>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</si>
  <si>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</si>
  <si>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</si>
  <si>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</si>
  <si>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</si>
  <si>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</si>
  <si>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</si>
  <si>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</si>
  <si>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</si>
  <si>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</si>
  <si>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</si>
  <si>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</si>
  <si>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</si>
  <si>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</si>
  <si>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</si>
  <si>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</si>
  <si>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</si>
  <si>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</si>
  <si>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</si>
  <si>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</si>
  <si>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</si>
  <si>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</si>
  <si>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</si>
  <si>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</si>
  <si>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</si>
  <si>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</si>
  <si>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</si>
  <si>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</si>
  <si>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</si>
  <si>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</si>
  <si>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</si>
  <si>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</si>
  <si>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</si>
  <si>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</si>
  <si>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</si>
  <si>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</si>
  <si>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</si>
  <si>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</si>
  <si>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</si>
  <si>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</si>
  <si>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</si>
  <si>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</si>
  <si>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</si>
  <si>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</si>
  <si>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</si>
  <si>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</si>
  <si>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</si>
  <si>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</si>
  <si>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</si>
  <si>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</si>
  <si>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</si>
  <si>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</si>
  <si>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</si>
  <si>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</si>
  <si>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</si>
  <si>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</si>
  <si>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</si>
  <si>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</si>
  <si>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</si>
  <si>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</si>
  <si>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</si>
  <si>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</si>
  <si>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</si>
  <si>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</si>
  <si>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</si>
  <si>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</si>
  <si>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</si>
  <si>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</si>
  <si>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</si>
  <si>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</si>
  <si>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</si>
  <si>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</si>
  <si>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</si>
  <si>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</si>
  <si>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</si>
  <si>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</si>
  <si>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</si>
  <si>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</si>
  <si>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</si>
  <si>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</si>
  <si>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</si>
  <si>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</si>
  <si>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</si>
  <si>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</si>
  <si>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</si>
  <si>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</si>
  <si>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</si>
  <si>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</si>
  <si>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</si>
  <si>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</si>
  <si>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</si>
  <si>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</si>
  <si>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</si>
  <si>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</si>
  <si>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</si>
  <si>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</si>
  <si>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</si>
  <si>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</si>
  <si>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</si>
  <si>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</si>
  <si>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</si>
  <si>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</si>
  <si>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</si>
  <si>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</si>
  <si>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</si>
  <si>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</si>
  <si>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</si>
  <si>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</si>
  <si>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</si>
  <si>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</si>
  <si>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</si>
  <si>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</si>
  <si>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</si>
  <si>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</si>
  <si>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</si>
  <si>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</si>
  <si>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</si>
  <si>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</si>
  <si>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</si>
  <si>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</si>
  <si>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</si>
  <si>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</si>
  <si>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</si>
  <si>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</si>
  <si>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</si>
  <si>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</si>
  <si>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</si>
  <si>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</si>
  <si>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</si>
  <si>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</si>
  <si>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</si>
  <si>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</si>
  <si>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</si>
  <si>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</si>
  <si>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</si>
  <si>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</si>
  <si>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</si>
  <si>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</si>
  <si>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</si>
  <si>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</si>
  <si>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</si>
  <si>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</si>
  <si>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</si>
  <si>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</si>
  <si>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</si>
  <si>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</si>
  <si>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</si>
  <si>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</si>
  <si>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</si>
  <si>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</si>
  <si>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</si>
  <si>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</si>
  <si>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</si>
  <si>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</si>
  <si>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</si>
  <si>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</si>
  <si>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</si>
  <si>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</si>
  <si>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</si>
  <si>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</si>
  <si>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</si>
  <si>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</si>
  <si>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</si>
  <si>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</si>
  <si>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</si>
  <si>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</si>
  <si>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</si>
  <si>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</si>
  <si>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</si>
  <si>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</si>
  <si>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</si>
  <si>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</si>
  <si>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</si>
  <si>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</si>
  <si>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</si>
  <si>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</si>
  <si>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</si>
  <si>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</si>
  <si>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</si>
  <si>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</si>
  <si>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</si>
  <si>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</si>
  <si>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</si>
  <si>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</si>
  <si>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</si>
  <si>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</si>
  <si>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</si>
  <si>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</si>
  <si>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</si>
  <si>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</si>
  <si>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</si>
  <si>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</si>
  <si>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</si>
  <si>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</si>
  <si>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</si>
  <si>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</si>
  <si>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</si>
  <si>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</si>
  <si>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</si>
  <si>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</si>
  <si>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</si>
  <si>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</si>
  <si>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</si>
  <si>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</si>
  <si>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</si>
  <si>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</si>
  <si>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</si>
  <si>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</si>
  <si>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</si>
  <si>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</si>
  <si>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</si>
  <si>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</si>
  <si>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</si>
  <si>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</si>
  <si>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</si>
  <si>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</si>
  <si>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</si>
  <si>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</si>
  <si>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</si>
  <si>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</si>
  <si>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</si>
  <si>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</si>
  <si>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</si>
  <si>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</si>
  <si>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</si>
  <si>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</si>
  <si>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</si>
  <si>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</si>
  <si>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</si>
  <si>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</si>
  <si>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</si>
  <si>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</si>
  <si>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</si>
  <si>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</si>
  <si>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</si>
  <si>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</si>
  <si>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</si>
  <si>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</si>
  <si>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</si>
  <si>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</si>
  <si>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</si>
  <si>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</si>
  <si>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</si>
  <si>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</si>
  <si>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</si>
  <si>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</si>
  <si>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</si>
  <si>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</si>
  <si>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</si>
  <si>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</si>
  <si>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</si>
  <si>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</si>
  <si>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</si>
  <si>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</si>
  <si>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</si>
  <si>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</si>
  <si>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</si>
  <si>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</si>
  <si>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</si>
  <si>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</si>
  <si>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</si>
  <si>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</si>
  <si>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</si>
  <si>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</si>
  <si>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</si>
  <si>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</si>
  <si>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</si>
  <si>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</si>
  <si>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</si>
  <si>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</si>
  <si>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</si>
  <si>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</si>
  <si>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</si>
  <si>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</si>
  <si>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</si>
  <si>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</si>
  <si>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</si>
  <si>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</si>
  <si>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</si>
  <si>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</si>
  <si>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</si>
  <si>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</si>
  <si>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</si>
  <si>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</si>
  <si>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</si>
  <si>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</si>
  <si>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</si>
  <si>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</si>
  <si>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</si>
  <si>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</si>
  <si>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</si>
  <si>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</si>
  <si>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</si>
  <si>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</si>
  <si>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</si>
  <si>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</si>
  <si>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</si>
  <si>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</si>
  <si>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</si>
  <si>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</si>
  <si>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</si>
  <si>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</si>
  <si>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</si>
  <si>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</si>
  <si>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</si>
  <si>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</si>
  <si>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</si>
  <si>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</si>
  <si>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</si>
  <si>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</si>
  <si>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</si>
  <si>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</si>
  <si>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</si>
  <si>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</si>
  <si>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</si>
  <si>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</si>
  <si>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</si>
  <si>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</si>
  <si>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</si>
  <si>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</si>
  <si>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</si>
  <si>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</si>
  <si>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</si>
  <si>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</si>
  <si>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</si>
  <si>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</si>
  <si>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</si>
  <si>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</si>
  <si>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</si>
  <si>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</si>
  <si>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</si>
  <si>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</si>
  <si>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</si>
  <si>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</si>
  <si>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</si>
  <si>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</si>
  <si>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</si>
  <si>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</si>
  <si>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</si>
  <si>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</si>
  <si>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</si>
  <si>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</si>
  <si>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</si>
  <si>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</si>
  <si>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</si>
  <si>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</si>
  <si>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</si>
  <si>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</si>
  <si>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</si>
  <si>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</si>
  <si>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</si>
  <si>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</si>
  <si>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</si>
  <si>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</si>
  <si>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</si>
  <si>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</si>
  <si>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</si>
  <si>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</si>
  <si>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</si>
  <si>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</si>
  <si>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</si>
  <si>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</si>
  <si>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</si>
  <si>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</si>
  <si>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</si>
  <si>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</si>
  <si>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</si>
  <si>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</si>
  <si>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</si>
  <si>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</si>
  <si>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</si>
  <si>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</si>
  <si>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</si>
  <si>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</si>
  <si>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</si>
  <si>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</si>
  <si>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</si>
  <si>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</si>
  <si>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</si>
  <si>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</si>
  <si>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</si>
  <si>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</si>
  <si>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</si>
  <si>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</si>
  <si>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</si>
  <si>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</si>
  <si>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</si>
  <si>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</si>
  <si>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</si>
  <si>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</si>
  <si>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</si>
  <si>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</si>
  <si>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</si>
  <si>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</si>
  <si>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</si>
  <si>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</si>
  <si>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</si>
  <si>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</si>
  <si>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</si>
  <si>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</si>
  <si>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</si>
  <si>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</si>
  <si>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</si>
  <si>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</si>
  <si>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</si>
  <si>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</si>
  <si>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</si>
  <si>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</si>
  <si>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</si>
  <si>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</si>
  <si>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</si>
  <si>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</si>
  <si>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</si>
  <si>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</si>
  <si>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</si>
  <si>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</si>
  <si>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</si>
  <si>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</si>
  <si>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</si>
  <si>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</si>
  <si>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</si>
  <si>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</si>
  <si>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</si>
  <si>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</si>
  <si>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</si>
  <si>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</si>
  <si>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</si>
  <si>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</si>
  <si>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</si>
  <si>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</si>
  <si>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</si>
  <si>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</si>
  <si>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</si>
  <si>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</si>
  <si>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</si>
  <si>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</si>
  <si>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</si>
  <si>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</si>
  <si>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</si>
  <si>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</si>
  <si>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</si>
  <si>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</si>
  <si>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</si>
  <si>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</si>
  <si>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</si>
  <si>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</si>
  <si>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</si>
  <si>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</si>
  <si>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</si>
  <si>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</si>
  <si>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</si>
  <si>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</si>
  <si>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</si>
  <si>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</si>
  <si>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</si>
  <si>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</si>
  <si>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</si>
  <si>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</si>
  <si>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</si>
  <si>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</si>
  <si>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</si>
  <si>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</si>
  <si>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</si>
  <si>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</si>
  <si>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</si>
  <si>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</si>
  <si>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</si>
  <si>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</si>
  <si>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</si>
  <si>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</si>
  <si>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</si>
  <si>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</si>
  <si>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</si>
  <si>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</si>
  <si>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</si>
  <si>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</si>
  <si>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</si>
  <si>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</si>
  <si>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</si>
  <si>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</si>
  <si>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</si>
  <si>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</si>
  <si>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</si>
  <si>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</si>
  <si>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</si>
  <si>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</si>
  <si>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</si>
  <si>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</si>
  <si>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</si>
  <si>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</si>
  <si>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</si>
  <si>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</si>
  <si>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</si>
  <si>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</si>
  <si>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</si>
  <si>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</si>
  <si>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</si>
  <si>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</si>
  <si>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</si>
  <si>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</si>
  <si>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</si>
  <si>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</si>
  <si>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</si>
  <si>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</si>
  <si>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</si>
  <si>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</si>
  <si>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</si>
  <si>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</si>
  <si>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</si>
  <si>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</si>
  <si>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</si>
  <si>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</si>
  <si>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</si>
  <si>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</si>
  <si>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</si>
  <si>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</si>
  <si>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</si>
  <si>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</si>
  <si>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</si>
  <si>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</si>
  <si>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</si>
  <si>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</si>
  <si>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</si>
  <si>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</si>
  <si>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</si>
  <si>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</si>
  <si>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</si>
  <si>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</si>
  <si>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</si>
  <si>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</si>
  <si>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</si>
  <si>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</si>
  <si>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</si>
  <si>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</si>
  <si>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</si>
  <si>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</si>
  <si>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</si>
  <si>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</si>
  <si>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</si>
  <si>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</si>
  <si>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</si>
  <si>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</si>
  <si>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</si>
  <si>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</si>
  <si>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</si>
  <si>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</si>
  <si>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</si>
  <si>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</si>
  <si>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</si>
  <si>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</si>
  <si>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</si>
  <si>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</si>
  <si>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</si>
  <si>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</si>
  <si>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</si>
  <si>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</si>
  <si>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</si>
  <si>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</si>
  <si>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</si>
  <si>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</si>
  <si>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</si>
  <si>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</si>
  <si>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</si>
  <si>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</si>
  <si>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</si>
  <si>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</si>
  <si>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</si>
  <si>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</si>
  <si>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</si>
  <si>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</si>
  <si>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</si>
  <si>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</si>
  <si>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</si>
  <si>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</si>
  <si>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</si>
  <si>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</si>
  <si>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</si>
  <si>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</si>
  <si>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</si>
  <si>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</si>
  <si>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</si>
  <si>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</si>
  <si>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</si>
  <si>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</si>
  <si>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</si>
  <si>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</si>
  <si>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</si>
  <si>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</si>
  <si>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</si>
  <si>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</si>
  <si>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</si>
  <si>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</si>
  <si>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</si>
  <si>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</si>
  <si>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</si>
  <si>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</si>
  <si>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</si>
  <si>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</si>
  <si>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</si>
  <si>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</si>
  <si>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</si>
  <si>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</si>
  <si>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</si>
  <si>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</si>
  <si>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</si>
  <si>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</si>
  <si>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</si>
  <si>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</si>
  <si>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</si>
  <si>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</si>
  <si>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</si>
  <si>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</si>
  <si>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</si>
  <si>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</si>
  <si>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</si>
  <si>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</si>
  <si>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</si>
  <si>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</si>
  <si>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</si>
  <si>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</si>
  <si>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</si>
  <si>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</si>
  <si>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</si>
  <si>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</si>
  <si>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</si>
  <si>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</si>
  <si>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</si>
  <si>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</si>
  <si>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</si>
  <si>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</si>
  <si>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</si>
  <si>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</si>
  <si>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</si>
  <si>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</si>
  <si>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</si>
  <si>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</si>
  <si>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</si>
  <si>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</si>
  <si>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</si>
  <si>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</si>
  <si>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</si>
  <si>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</si>
  <si>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</si>
  <si>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</si>
  <si>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</si>
  <si>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</si>
  <si>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</si>
  <si>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</si>
  <si>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</si>
  <si>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</si>
  <si>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</si>
  <si>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</si>
  <si>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</si>
  <si>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</si>
  <si>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</si>
  <si>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</si>
  <si>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</si>
  <si>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</si>
  <si>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</si>
  <si>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</si>
  <si>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</si>
  <si>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</si>
  <si>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</si>
  <si>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</si>
  <si>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</si>
  <si>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</si>
  <si>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</si>
  <si>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</si>
  <si>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</si>
  <si>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</si>
  <si>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</si>
  <si>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</si>
  <si>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</si>
  <si>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</si>
  <si>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</si>
  <si>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</si>
  <si>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</si>
  <si>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</si>
  <si>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</si>
  <si>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</si>
  <si>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</si>
  <si>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</si>
  <si>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</si>
  <si>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</si>
  <si>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</si>
  <si>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</si>
  <si>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</si>
  <si>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</si>
  <si>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</si>
  <si>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</si>
  <si>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</si>
  <si>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</si>
  <si>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</si>
  <si>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</si>
  <si>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</si>
  <si>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</si>
  <si>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</si>
  <si>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</si>
  <si>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</si>
  <si>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</si>
  <si>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</si>
  <si>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</si>
  <si>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</si>
  <si>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</si>
  <si>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</si>
  <si>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</si>
  <si>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</si>
  <si>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</si>
  <si>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</si>
  <si>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</si>
  <si>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</si>
  <si>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</si>
  <si>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</si>
  <si>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</si>
  <si>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</si>
  <si>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</si>
  <si>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</si>
  <si>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</si>
  <si>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</si>
  <si>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</si>
  <si>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</si>
  <si>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</si>
  <si>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</si>
  <si>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</si>
  <si>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</si>
  <si>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</si>
  <si>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</si>
  <si>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</si>
  <si>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</si>
  <si>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</si>
  <si>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</si>
  <si>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</si>
  <si>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</si>
  <si>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</si>
  <si>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</si>
  <si>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</si>
  <si>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</si>
  <si>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</si>
  <si>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</si>
  <si>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</si>
  <si>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</si>
  <si>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</si>
  <si>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</si>
  <si>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</si>
  <si>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</si>
  <si>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</si>
  <si>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</si>
  <si>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</si>
  <si>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</si>
  <si>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</si>
  <si>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</si>
  <si>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</si>
  <si>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</si>
  <si>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</si>
  <si>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</si>
  <si>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</si>
  <si>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</si>
  <si>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</si>
  <si>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</si>
  <si>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</si>
  <si>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</si>
  <si>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</si>
  <si>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</si>
  <si>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</si>
  <si>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</si>
  <si>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</si>
  <si>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</si>
  <si>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</si>
  <si>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</si>
  <si>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</si>
  <si>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</si>
  <si>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</si>
  <si>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</si>
  <si>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</si>
  <si>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</si>
  <si>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</si>
  <si>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</si>
  <si>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</si>
  <si>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</si>
  <si>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</si>
  <si>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</si>
  <si>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</si>
  <si>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</si>
  <si>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</si>
  <si>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</si>
  <si>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</si>
  <si>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</si>
  <si>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</si>
  <si>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</si>
  <si>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</si>
  <si>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</si>
  <si>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</si>
  <si>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</si>
  <si>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</si>
  <si>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</si>
  <si>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</si>
  <si>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</si>
  <si>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</si>
  <si>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</si>
  <si>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</si>
  <si>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</si>
  <si>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</si>
  <si>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</si>
  <si>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</si>
  <si>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</si>
  <si>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</si>
  <si>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</si>
  <si>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</si>
  <si>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</si>
  <si>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</si>
  <si>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</si>
  <si>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</si>
  <si>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</si>
  <si>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</si>
  <si>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</si>
  <si>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</si>
  <si>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</si>
  <si>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</si>
  <si>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</si>
  <si>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</si>
  <si>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</si>
  <si>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</si>
  <si>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</si>
  <si>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</si>
  <si>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</si>
  <si>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</si>
  <si>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</si>
  <si>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</si>
  <si>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</si>
  <si>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</si>
  <si>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</si>
  <si>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</si>
  <si>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</si>
  <si>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</si>
  <si>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</si>
  <si>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</si>
  <si>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</si>
  <si>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</si>
  <si>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</si>
  <si>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</si>
  <si>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</si>
  <si>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</si>
  <si>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</si>
  <si>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</si>
  <si>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</si>
  <si>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</si>
  <si>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</si>
  <si>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</si>
  <si>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</si>
  <si>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</si>
  <si>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</si>
  <si>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</si>
  <si>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</si>
  <si>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</si>
  <si>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</si>
  <si>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</si>
  <si>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</si>
  <si>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</si>
  <si>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</si>
  <si>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</si>
  <si>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</si>
  <si>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</si>
  <si>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</si>
  <si>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</si>
  <si>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</si>
  <si>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</si>
  <si>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</si>
  <si>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</si>
  <si>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</si>
  <si>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</si>
  <si>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</si>
  <si>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</si>
  <si>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</si>
  <si>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</si>
  <si>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</si>
  <si>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</si>
  <si>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</si>
  <si>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</si>
  <si>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</si>
  <si>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</si>
  <si>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</si>
  <si>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</si>
  <si>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</si>
  <si>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</si>
  <si>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</si>
  <si>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</si>
  <si>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</si>
  <si>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</si>
  <si>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</si>
  <si>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</si>
  <si>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</si>
  <si>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</si>
  <si>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</si>
  <si>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</si>
  <si>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</si>
  <si>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</si>
  <si>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</si>
  <si>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</si>
  <si>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</si>
  <si>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</si>
  <si>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</si>
  <si>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</si>
  <si>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</si>
  <si>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</si>
  <si>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</si>
  <si>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</si>
  <si>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</si>
  <si>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</si>
  <si>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</si>
  <si>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</si>
  <si>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</si>
  <si>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</si>
  <si>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</si>
  <si>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</si>
  <si>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</si>
  <si>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</si>
  <si>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</si>
  <si>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</si>
  <si>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</si>
  <si>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</si>
  <si>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</si>
  <si>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</si>
  <si>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</si>
  <si>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</si>
  <si>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</si>
  <si>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</si>
  <si>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</si>
  <si>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</si>
  <si>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</si>
  <si>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</si>
  <si>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</si>
  <si>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</si>
  <si>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</si>
  <si>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</si>
  <si>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</si>
  <si>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</si>
  <si>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</si>
  <si>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</si>
  <si>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</si>
  <si>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</si>
  <si>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</si>
  <si>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</si>
  <si>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</si>
  <si>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</si>
  <si>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</si>
  <si>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</si>
  <si>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</si>
  <si>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</si>
  <si>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</si>
  <si>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</si>
  <si>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</si>
  <si>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</si>
  <si>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</si>
  <si>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</si>
  <si>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</si>
  <si>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</si>
  <si>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</si>
  <si>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</si>
  <si>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</si>
  <si>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</si>
  <si>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</si>
  <si>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</si>
  <si>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</si>
  <si>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</si>
  <si>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</si>
  <si>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</si>
  <si>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</si>
  <si>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</si>
  <si>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</si>
  <si>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</si>
  <si>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</si>
  <si>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</si>
  <si>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</si>
  <si>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</si>
  <si>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</si>
  <si>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</si>
  <si>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</si>
  <si>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</si>
  <si>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</si>
  <si>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</si>
  <si>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</si>
  <si>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</si>
  <si>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</si>
  <si>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</si>
  <si>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</si>
  <si>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</si>
  <si>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</si>
  <si>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</si>
  <si>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</si>
  <si>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</si>
  <si>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</si>
  <si>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</si>
  <si>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</si>
  <si>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</si>
  <si>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</si>
  <si>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</si>
  <si>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</si>
  <si>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</si>
  <si>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</si>
  <si>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</si>
  <si>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</si>
  <si>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</si>
  <si>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</si>
  <si>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</si>
  <si>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</si>
  <si>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</si>
  <si>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</si>
  <si>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</si>
  <si>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</si>
  <si>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</si>
  <si>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</si>
  <si>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</si>
  <si>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</si>
  <si>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</si>
  <si>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</si>
  <si>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</si>
  <si>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</si>
  <si>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</si>
  <si>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</si>
  <si>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</si>
  <si>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</si>
  <si>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</si>
  <si>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</si>
  <si>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</si>
  <si>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</si>
  <si>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</si>
  <si>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</si>
  <si>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</si>
  <si>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</si>
  <si>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</si>
  <si>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</si>
  <si>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</si>
  <si>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</si>
  <si>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</si>
  <si>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</si>
  <si>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</si>
  <si>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</si>
  <si>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</si>
  <si>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</si>
  <si>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</si>
  <si>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</si>
  <si>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</si>
  <si>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</si>
  <si>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</si>
  <si>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</si>
  <si>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</si>
  <si>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</si>
  <si>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</si>
  <si>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</si>
  <si>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</si>
  <si>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</si>
  <si>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</si>
  <si>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</si>
  <si>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</si>
  <si>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</si>
  <si>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</si>
  <si>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</si>
  <si>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</si>
  <si>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</si>
  <si>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</si>
  <si>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</si>
  <si>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</si>
  <si>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</si>
  <si>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</si>
  <si>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</si>
  <si>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</si>
  <si>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</si>
  <si>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</si>
  <si>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</si>
  <si>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</si>
  <si>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</si>
  <si>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</si>
  <si>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</si>
  <si>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</si>
  <si>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</si>
  <si>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</si>
  <si>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</si>
  <si>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</si>
  <si>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</si>
  <si>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</si>
  <si>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</si>
  <si>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</si>
  <si>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</si>
  <si>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</si>
  <si>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</si>
  <si>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</si>
  <si>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</si>
  <si>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</si>
  <si>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</si>
  <si>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</si>
  <si>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</si>
  <si>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</si>
  <si>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</si>
  <si>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</si>
  <si>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</si>
  <si>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</si>
  <si>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</si>
  <si>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</si>
  <si>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</si>
  <si>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</si>
  <si>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</si>
  <si>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</si>
  <si>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</si>
  <si>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</si>
  <si>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</si>
  <si>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</si>
  <si>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</si>
  <si>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</si>
  <si>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</si>
  <si>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</si>
  <si>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</si>
  <si>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</si>
  <si>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</si>
  <si>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</si>
  <si>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</si>
  <si>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</si>
  <si>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</si>
  <si>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</si>
  <si>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</si>
  <si>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</si>
  <si>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</si>
  <si>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</si>
  <si>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</si>
  <si>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</si>
  <si>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</si>
  <si>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</si>
  <si>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</si>
  <si>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</si>
  <si>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</si>
  <si>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</si>
  <si>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</si>
  <si>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</si>
  <si>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</si>
  <si>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</si>
  <si>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</si>
  <si>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</si>
  <si>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</si>
  <si>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</si>
  <si>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</si>
  <si>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</si>
  <si>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</si>
  <si>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</si>
  <si>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</si>
  <si>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</si>
  <si>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</si>
  <si>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</si>
  <si>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</si>
  <si>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</si>
  <si>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</si>
  <si>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</si>
  <si>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</si>
  <si>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</si>
  <si>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</si>
  <si>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</si>
  <si>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</si>
  <si>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</si>
  <si>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</si>
  <si>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</si>
  <si>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</si>
  <si>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</si>
  <si>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</si>
  <si>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</si>
  <si>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</si>
  <si>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</si>
  <si>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</si>
  <si>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</si>
  <si>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</si>
  <si>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</si>
  <si>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</si>
  <si>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</si>
  <si>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</si>
  <si>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</si>
  <si>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</si>
  <si>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</si>
  <si>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</si>
  <si>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</si>
  <si>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</si>
  <si>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</si>
  <si>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</si>
  <si>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</si>
  <si>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</si>
  <si>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</si>
  <si>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</si>
  <si>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</si>
  <si>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</si>
  <si>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</si>
  <si>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</si>
  <si>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</si>
  <si>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</si>
  <si>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</si>
  <si>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</si>
  <si>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</si>
  <si>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</si>
  <si>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</si>
  <si>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</si>
  <si>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</si>
  <si>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</si>
  <si>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</si>
  <si>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</si>
  <si>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</si>
  <si>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</si>
  <si>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</si>
  <si>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</si>
  <si>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</si>
  <si>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</si>
  <si>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</si>
  <si>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</si>
  <si>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</si>
  <si>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</si>
  <si>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</si>
  <si>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</si>
  <si>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</si>
  <si>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</si>
  <si>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</si>
  <si>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</si>
  <si>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</si>
  <si>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</si>
  <si>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</si>
  <si>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</si>
  <si>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</si>
  <si>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</si>
  <si>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</si>
  <si>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</si>
  <si>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</si>
  <si>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</si>
  <si>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</si>
  <si>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</si>
  <si>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</si>
  <si>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</si>
  <si>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</si>
  <si>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</si>
  <si>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</si>
  <si>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</si>
  <si>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</si>
  <si>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</si>
  <si>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</si>
  <si>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</si>
  <si>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</si>
  <si>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</si>
  <si>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</si>
  <si>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</si>
  <si>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</si>
  <si>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</si>
  <si>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</si>
  <si>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</si>
  <si>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</si>
  <si>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</si>
  <si>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</si>
  <si>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</si>
  <si>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</si>
  <si>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</si>
  <si>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</si>
  <si>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</si>
  <si>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</si>
  <si>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</si>
  <si>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</si>
  <si>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</si>
  <si>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</si>
  <si>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</si>
  <si>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</si>
  <si>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</si>
  <si>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</si>
  <si>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</si>
  <si>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</si>
  <si>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</si>
  <si>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</si>
  <si>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</si>
  <si>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</si>
  <si>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</si>
  <si>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</si>
  <si>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</si>
  <si>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</si>
  <si>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</si>
  <si>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</si>
  <si>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</si>
  <si>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</si>
  <si>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</si>
  <si>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</si>
  <si>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</si>
  <si>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</si>
  <si>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</si>
  <si>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</si>
  <si>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</si>
  <si>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</si>
  <si>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</si>
  <si>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</si>
  <si>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</si>
  <si>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</si>
  <si>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</si>
  <si>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</si>
  <si>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</si>
  <si>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</si>
  <si>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</si>
  <si>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</si>
  <si>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</si>
  <si>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</si>
  <si>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</si>
  <si>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</si>
  <si>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</si>
  <si>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</si>
  <si>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</si>
  <si>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</si>
  <si>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</si>
  <si>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</si>
  <si>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</si>
  <si>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</si>
  <si>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</si>
  <si>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</si>
  <si>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</si>
  <si>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</si>
  <si>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</si>
  <si>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</si>
  <si>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</si>
  <si>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</si>
  <si>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</si>
  <si>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</si>
  <si>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</si>
  <si>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</si>
  <si>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</si>
  <si>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</si>
  <si>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</si>
  <si>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</si>
  <si>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</si>
  <si>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</si>
  <si>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</si>
  <si>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</si>
  <si>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</si>
  <si>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</si>
  <si>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</si>
  <si>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</si>
  <si>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</si>
  <si>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</si>
  <si>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</si>
  <si>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</si>
  <si>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</si>
  <si>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</si>
  <si>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</si>
  <si>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</si>
  <si>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</si>
  <si>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</si>
  <si>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</si>
  <si>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</si>
  <si>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</si>
  <si>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</si>
  <si>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</si>
  <si>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</si>
  <si>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</si>
  <si>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</si>
  <si>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</si>
  <si>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</si>
  <si>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</si>
  <si>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</si>
  <si>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</si>
  <si>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</si>
  <si>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</si>
  <si>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</si>
  <si>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</si>
  <si>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</si>
  <si>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</si>
  <si>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</si>
  <si>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</si>
  <si>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</si>
  <si>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</si>
  <si>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</si>
  <si>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</si>
  <si>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</si>
  <si>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</si>
  <si>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</si>
  <si>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</si>
  <si>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</si>
  <si>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</si>
  <si>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</si>
  <si>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</si>
  <si>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</si>
  <si>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</si>
  <si>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</si>
  <si>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</si>
  <si>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</si>
  <si>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</si>
  <si>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</si>
  <si>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</si>
  <si>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</si>
  <si>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</si>
  <si>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</si>
  <si>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</si>
  <si>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</si>
  <si>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</si>
  <si>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</si>
  <si>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</si>
  <si>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</si>
  <si>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</si>
  <si>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</si>
  <si>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</si>
  <si>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</si>
  <si>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</si>
  <si>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</si>
  <si>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</si>
  <si>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</si>
  <si>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</si>
  <si>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</si>
  <si>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</si>
  <si>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</si>
  <si>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</si>
  <si>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</si>
  <si>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</si>
  <si>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</si>
  <si>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</si>
  <si>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</si>
  <si>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</si>
  <si>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</si>
  <si>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</si>
  <si>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</si>
  <si>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</si>
  <si>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</si>
  <si>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</si>
  <si>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</si>
  <si>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</si>
  <si>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</si>
  <si>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</si>
  <si>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</si>
  <si>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</si>
  <si>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</si>
  <si>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</si>
  <si>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</si>
  <si>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</si>
  <si>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</si>
  <si>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</si>
  <si>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</si>
  <si>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</si>
  <si>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</si>
  <si>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</si>
  <si>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</si>
  <si>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</si>
  <si>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</si>
  <si>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</si>
  <si>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</si>
  <si>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</si>
  <si>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</si>
  <si>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</si>
  <si>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</si>
  <si>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</si>
  <si>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</si>
  <si>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</si>
  <si>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</si>
  <si>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</si>
  <si>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</si>
  <si>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</si>
  <si>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</si>
  <si>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</si>
  <si>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</si>
  <si>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</si>
  <si>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</si>
  <si>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</si>
  <si>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</si>
  <si>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</si>
  <si>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</si>
  <si>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</si>
  <si>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</si>
  <si>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</si>
  <si>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</si>
  <si>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</si>
  <si>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</si>
  <si>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</si>
  <si>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</si>
  <si>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</si>
  <si>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</si>
  <si>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</si>
  <si>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</si>
  <si>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</si>
  <si>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</si>
  <si>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</si>
  <si>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</si>
  <si>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</si>
  <si>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</si>
  <si>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</si>
  <si>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</si>
  <si>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</si>
  <si>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</si>
  <si>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</si>
  <si>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</si>
  <si>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</si>
  <si>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</si>
  <si>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</si>
  <si>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</si>
  <si>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</si>
  <si>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</si>
  <si>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</si>
  <si>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</si>
  <si>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</si>
  <si>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</si>
  <si>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</si>
  <si>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</si>
  <si>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</si>
  <si>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</si>
  <si>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</si>
  <si>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</si>
  <si>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</si>
  <si>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</si>
  <si>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</si>
  <si>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</si>
  <si>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</si>
  <si>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</si>
  <si>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</si>
  <si>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</si>
  <si>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</si>
  <si>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</si>
  <si>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</si>
  <si>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</si>
  <si>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</si>
  <si>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</si>
  <si>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</si>
  <si>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</si>
  <si>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</si>
  <si>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</si>
  <si>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</si>
  <si>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</si>
  <si>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</si>
  <si>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</si>
  <si>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</si>
  <si>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</si>
  <si>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</si>
  <si>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</si>
  <si>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</si>
  <si>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</si>
  <si>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</si>
  <si>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</si>
  <si>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</si>
  <si>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</si>
  <si>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</si>
  <si>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</si>
  <si>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</si>
  <si>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</si>
  <si>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</si>
  <si>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</si>
  <si>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</si>
  <si>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</si>
  <si>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</si>
  <si>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</si>
  <si>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</si>
  <si>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</si>
  <si>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</si>
  <si>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</si>
  <si>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</si>
  <si>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</si>
  <si>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</si>
  <si>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</si>
  <si>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</si>
  <si>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</si>
  <si>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</si>
  <si>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</si>
  <si>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</si>
  <si>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</si>
  <si>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</si>
  <si>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</si>
  <si>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</si>
  <si>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</si>
  <si>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</si>
  <si>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</si>
  <si>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</si>
  <si>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</si>
  <si>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</si>
  <si>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</si>
  <si>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</si>
  <si>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</si>
  <si>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</si>
  <si>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</si>
  <si>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</si>
  <si>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</si>
  <si>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</si>
  <si>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</si>
  <si>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</si>
  <si>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</si>
  <si>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</si>
  <si>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</si>
  <si>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</si>
  <si>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</si>
  <si>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</si>
  <si>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</si>
  <si>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</si>
  <si>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</si>
  <si>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</si>
  <si>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</si>
  <si>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</si>
  <si>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</si>
  <si>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</si>
  <si>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</si>
  <si>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</si>
  <si>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</si>
  <si>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</si>
  <si>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</si>
  <si>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</si>
  <si>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</si>
  <si>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</si>
  <si>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</si>
  <si>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</si>
  <si>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</si>
  <si>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</si>
  <si>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</si>
  <si>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</si>
  <si>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</si>
  <si>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</si>
  <si>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</si>
  <si>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</si>
  <si>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</si>
  <si>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</si>
  <si>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</si>
  <si>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</si>
  <si>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</si>
  <si>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</si>
  <si>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</si>
  <si>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</si>
  <si>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</si>
  <si>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</si>
  <si>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</si>
  <si>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</si>
  <si>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</si>
  <si>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</si>
  <si>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</si>
  <si>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</si>
  <si>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</si>
  <si>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</si>
  <si>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</si>
  <si>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</si>
  <si>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</si>
  <si>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</si>
  <si>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</si>
  <si>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</si>
  <si>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</si>
  <si>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</si>
  <si>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</si>
  <si>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</si>
  <si>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</si>
  <si>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</si>
  <si>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</si>
  <si>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</si>
  <si>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</si>
  <si>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</si>
  <si>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</si>
  <si>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</si>
  <si>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</si>
  <si>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</si>
  <si>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</si>
  <si>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</si>
  <si>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</si>
  <si>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</si>
  <si>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</si>
  <si>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</si>
  <si>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</si>
  <si>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</si>
  <si>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</si>
  <si>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</si>
  <si>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</si>
  <si>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</si>
  <si>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</si>
  <si>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</si>
  <si>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</si>
  <si>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</si>
  <si>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</si>
  <si>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</si>
  <si>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</si>
  <si>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</si>
  <si>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</si>
  <si>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</si>
  <si>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</si>
  <si>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</si>
  <si>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</si>
  <si>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</si>
  <si>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</si>
  <si>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</si>
  <si>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</si>
  <si>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</si>
  <si>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</si>
  <si>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</si>
  <si>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</si>
  <si>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</si>
  <si>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</si>
  <si>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</si>
  <si>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</si>
  <si>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</si>
  <si>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</si>
  <si>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</si>
  <si>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</si>
  <si>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</si>
  <si>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</si>
  <si>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</si>
  <si>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</si>
  <si>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</si>
  <si>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</si>
  <si>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</si>
  <si>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</si>
  <si>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</si>
  <si>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</si>
  <si>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</si>
  <si>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</si>
  <si>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</si>
  <si>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</si>
  <si>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</si>
  <si>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</si>
  <si>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</si>
  <si>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</si>
  <si>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</si>
  <si>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</si>
  <si>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</si>
  <si>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</si>
  <si>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</si>
  <si>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</si>
  <si>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</si>
  <si>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</si>
  <si>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</si>
  <si>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</si>
  <si>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</si>
  <si>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</si>
  <si>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</si>
  <si>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</si>
  <si>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</si>
  <si>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</si>
  <si>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</si>
  <si>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</si>
  <si>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</si>
  <si>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</si>
  <si>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</si>
  <si>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</si>
  <si>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</si>
  <si>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</si>
  <si>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</si>
  <si>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</si>
  <si>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</si>
  <si>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</si>
  <si>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</si>
  <si>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</si>
  <si>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</si>
  <si>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</si>
  <si>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</si>
  <si>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</si>
  <si>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</si>
  <si>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</si>
  <si>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</si>
  <si>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</si>
  <si>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</si>
  <si>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</si>
  <si>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</si>
  <si>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</si>
  <si>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</si>
  <si>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</si>
  <si>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</si>
  <si>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</si>
  <si>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</si>
  <si>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</si>
  <si>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</si>
  <si>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</si>
  <si>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</si>
  <si>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</si>
  <si>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</si>
  <si>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</si>
  <si>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</si>
  <si>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</si>
  <si>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</si>
  <si>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</si>
  <si>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</si>
  <si>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</si>
  <si>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</si>
  <si>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</si>
  <si>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</si>
  <si>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</si>
  <si>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</si>
  <si>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</si>
  <si>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</si>
  <si>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</si>
  <si>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</si>
  <si>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</si>
  <si>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</si>
  <si>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</si>
  <si>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</si>
  <si>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</si>
  <si>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</si>
  <si>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</si>
  <si>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</si>
  <si>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</si>
  <si>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</si>
  <si>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</si>
  <si>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</si>
  <si>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</si>
  <si>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</si>
  <si>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</si>
  <si>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</si>
  <si>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</si>
  <si>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</si>
  <si>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</si>
  <si>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</si>
  <si>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</si>
  <si>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</si>
  <si>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</si>
  <si>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</si>
  <si>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</si>
  <si>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</si>
  <si>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</si>
  <si>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</si>
  <si>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</si>
  <si>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</si>
  <si>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</si>
  <si>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</si>
  <si>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</si>
  <si>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</si>
  <si>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</si>
  <si>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</si>
  <si>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</si>
  <si>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</si>
  <si>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</si>
  <si>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</si>
  <si>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</si>
  <si>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</si>
  <si>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</si>
  <si>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</si>
  <si>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</si>
  <si>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</si>
  <si>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</si>
  <si>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</si>
  <si>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</si>
  <si>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</si>
  <si>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</si>
  <si>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</si>
  <si>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</si>
  <si>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</si>
  <si>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</si>
  <si>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</si>
  <si>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</si>
  <si>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</si>
  <si>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</si>
  <si>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</si>
  <si>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</si>
  <si>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</si>
  <si>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</si>
  <si>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</si>
  <si>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</si>
  <si>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</si>
  <si>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</si>
  <si>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</si>
  <si>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</si>
  <si>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</si>
  <si>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</si>
  <si>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</si>
  <si>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</si>
  <si>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</si>
  <si>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</si>
  <si>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</si>
  <si>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</si>
  <si>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</si>
  <si>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</si>
  <si>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</si>
  <si>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</si>
  <si>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</si>
  <si>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</si>
  <si>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</si>
  <si>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</si>
  <si>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</si>
  <si>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</si>
  <si>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</si>
  <si>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</si>
  <si>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</si>
  <si>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</si>
  <si>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</si>
  <si>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</si>
  <si>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</si>
  <si>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</si>
  <si>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</si>
  <si>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</si>
  <si>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</si>
  <si>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</si>
  <si>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</si>
  <si>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</si>
  <si>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</si>
  <si>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</si>
  <si>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</si>
  <si>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</si>
  <si>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</si>
  <si>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</si>
  <si>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</si>
  <si>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</si>
  <si>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</si>
  <si>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</si>
  <si>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</si>
  <si>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</si>
  <si>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</si>
  <si>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</si>
  <si>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</si>
  <si>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</si>
  <si>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</si>
  <si>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</si>
  <si>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</si>
  <si>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</si>
  <si>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</si>
  <si>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</si>
  <si>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</si>
  <si>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</si>
  <si>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</si>
  <si>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</si>
  <si>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</si>
  <si>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</si>
  <si>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</si>
  <si>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</si>
  <si>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</si>
  <si>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</si>
  <si>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</si>
  <si>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</si>
  <si>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</si>
  <si>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</si>
  <si>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</si>
  <si>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</si>
  <si>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</si>
  <si>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</si>
  <si>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</si>
  <si>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</si>
  <si>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</si>
  <si>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</si>
  <si>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</si>
  <si>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</si>
  <si>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</si>
  <si>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</si>
  <si>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</si>
  <si>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</si>
  <si>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</si>
  <si>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</si>
  <si>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</si>
  <si>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</si>
  <si>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</si>
  <si>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</si>
  <si>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</si>
  <si>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</si>
  <si>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</si>
  <si>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</si>
  <si>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</si>
  <si>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</si>
  <si>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</si>
  <si>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</si>
  <si>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</si>
  <si>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</si>
  <si>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</si>
  <si>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</si>
  <si>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</si>
  <si>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</si>
  <si>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</si>
  <si>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</si>
  <si>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</si>
  <si>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</si>
  <si>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</si>
  <si>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</si>
  <si>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</si>
  <si>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</si>
  <si>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</si>
  <si>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</si>
  <si>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</si>
  <si>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</si>
  <si>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</si>
  <si>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</si>
  <si>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</si>
  <si>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</si>
  <si>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</si>
  <si>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</si>
  <si>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</si>
  <si>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</si>
  <si>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</si>
  <si>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</si>
  <si>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</si>
  <si>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</si>
  <si>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</si>
  <si>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</si>
  <si>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</si>
  <si>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</si>
  <si>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</si>
  <si>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</si>
  <si>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</si>
  <si>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</si>
  <si>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</si>
  <si>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</si>
  <si>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</si>
  <si>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</si>
  <si>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</si>
  <si>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</si>
  <si>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</si>
  <si>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</si>
  <si>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</si>
  <si>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</si>
  <si>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</si>
  <si>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</si>
  <si>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</si>
  <si>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</si>
  <si>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</si>
  <si>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</si>
  <si>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</si>
  <si>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</si>
  <si>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</si>
  <si>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</si>
  <si>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</si>
  <si>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</si>
  <si>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</si>
  <si>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</si>
  <si>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</si>
  <si>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</si>
  <si>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</si>
  <si>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</si>
  <si>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</si>
  <si>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</si>
  <si>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</si>
  <si>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</si>
  <si>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</si>
  <si>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</si>
  <si>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</si>
  <si>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</si>
  <si>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</si>
  <si>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</si>
  <si>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</si>
  <si>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</si>
  <si>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</si>
  <si>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</si>
  <si>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</si>
  <si>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</si>
  <si>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</si>
  <si>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</si>
  <si>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</si>
  <si>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</si>
  <si>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</si>
  <si>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</si>
  <si>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</si>
  <si>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</si>
  <si>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</si>
  <si>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</si>
  <si>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</si>
  <si>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</si>
  <si>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</si>
  <si>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</si>
  <si>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</si>
  <si>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</si>
  <si>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</si>
  <si>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</si>
  <si>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</si>
  <si>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</si>
  <si>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</si>
  <si>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</si>
  <si>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</si>
  <si>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</si>
  <si>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</si>
  <si>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</si>
  <si>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</si>
  <si>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</si>
  <si>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</si>
  <si>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</si>
  <si>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</si>
  <si>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</si>
  <si>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</si>
  <si>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</si>
  <si>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</si>
  <si>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</si>
  <si>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</si>
  <si>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</si>
  <si>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</si>
  <si>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</si>
  <si>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</si>
  <si>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</si>
  <si>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</si>
  <si>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</si>
  <si>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</si>
  <si>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</si>
  <si>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</si>
  <si>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</si>
  <si>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</si>
  <si>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</si>
  <si>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</si>
  <si>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</si>
  <si>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</si>
  <si>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</si>
  <si>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</si>
  <si>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</si>
  <si>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</si>
  <si>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</si>
  <si>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</si>
  <si>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</si>
  <si>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</si>
  <si>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</si>
  <si>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</si>
  <si>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</si>
  <si>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</si>
  <si>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</si>
  <si>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</si>
  <si>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</si>
  <si>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</si>
  <si>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</si>
  <si>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</si>
  <si>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</si>
  <si>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</si>
  <si>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</si>
  <si>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</si>
  <si>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</si>
  <si>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</si>
  <si>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</si>
  <si>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</si>
  <si>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</si>
  <si>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</si>
  <si>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</si>
  <si>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</si>
  <si>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</si>
  <si>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</si>
  <si>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</si>
  <si>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</si>
  <si>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</si>
  <si>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</si>
  <si>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</si>
  <si>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</si>
  <si>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</si>
  <si>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</si>
  <si>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</si>
  <si>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</si>
  <si>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</si>
  <si>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</si>
  <si>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</si>
  <si>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</si>
  <si>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</si>
  <si>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</si>
  <si>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</si>
  <si>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</si>
  <si>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</si>
  <si>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</si>
  <si>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</si>
  <si>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</si>
  <si>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</si>
  <si>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</si>
  <si>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</si>
  <si>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</si>
  <si>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</si>
  <si>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</si>
  <si>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</si>
  <si>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</si>
  <si>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</si>
  <si>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</si>
  <si>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</si>
  <si>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</si>
  <si>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</si>
  <si>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</si>
  <si>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</si>
  <si>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</si>
  <si>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</si>
  <si>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</si>
  <si>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</si>
  <si>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</si>
  <si>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</si>
  <si>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</si>
  <si>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</si>
  <si>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</si>
  <si>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</si>
  <si>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</si>
  <si>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</si>
  <si>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</si>
  <si>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</si>
  <si>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</si>
  <si>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</si>
  <si>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</si>
  <si>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</si>
  <si>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</si>
  <si>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</si>
  <si>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</si>
  <si>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</si>
  <si>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</si>
  <si>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</si>
  <si>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</si>
  <si>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</si>
  <si>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</si>
  <si>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</si>
  <si>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</si>
  <si>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</si>
  <si>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</si>
  <si>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</si>
  <si>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</si>
  <si>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</si>
  <si>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</si>
  <si>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</si>
  <si>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</si>
  <si>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</si>
  <si>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</si>
  <si>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</si>
  <si>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</si>
  <si>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</si>
  <si>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</si>
  <si>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</si>
  <si>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</si>
  <si>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</si>
  <si>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</si>
  <si>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</si>
  <si>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</si>
  <si>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</si>
  <si>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</si>
  <si>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</si>
  <si>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</si>
  <si>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</si>
  <si>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</si>
  <si>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</si>
  <si>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</si>
  <si>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</si>
  <si>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</si>
  <si>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</si>
  <si>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</si>
  <si>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</si>
  <si>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</si>
  <si>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</si>
  <si>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</si>
  <si>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</si>
  <si>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</si>
  <si>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</si>
  <si>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</si>
  <si>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</si>
  <si>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</si>
  <si>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</si>
  <si>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</si>
  <si>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</si>
  <si>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</si>
  <si>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</si>
  <si>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</si>
  <si>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</si>
  <si>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</si>
  <si>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</si>
  <si>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</si>
  <si>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</si>
  <si>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</si>
  <si>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</si>
  <si>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</si>
  <si>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</si>
  <si>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</si>
  <si>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</si>
  <si>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</si>
  <si>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</si>
  <si>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</si>
  <si>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</si>
  <si>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</si>
  <si>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</si>
  <si>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</si>
  <si>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</si>
  <si>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</si>
  <si>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</si>
  <si>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</si>
  <si>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</si>
  <si>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</si>
  <si>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</si>
  <si>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</si>
  <si>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</si>
  <si>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</si>
  <si>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</si>
  <si>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</si>
  <si>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</si>
  <si>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</si>
  <si>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</si>
  <si>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</si>
  <si>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</si>
  <si>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</si>
  <si>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</si>
  <si>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</si>
  <si>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</si>
  <si>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</si>
  <si>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</si>
  <si>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</si>
  <si>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</si>
  <si>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</si>
  <si>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</si>
  <si>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</si>
  <si>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</si>
  <si>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</si>
  <si>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</si>
  <si>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</si>
  <si>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</si>
  <si>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</si>
  <si>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</si>
  <si>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</si>
  <si>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</si>
  <si>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</si>
  <si>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</si>
  <si>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</si>
  <si>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</si>
  <si>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</si>
  <si>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</si>
  <si>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</si>
  <si>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</si>
  <si>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</si>
  <si>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</si>
  <si>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</si>
  <si>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</si>
  <si>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</si>
  <si>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</si>
  <si>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</si>
  <si>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</si>
  <si>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</si>
  <si>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</si>
  <si>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</si>
  <si>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</si>
  <si>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</si>
  <si>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</si>
  <si>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</si>
  <si>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</si>
  <si>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</si>
  <si>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</si>
  <si>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</si>
  <si>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</si>
  <si>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</si>
  <si>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</si>
  <si>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</si>
  <si>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</si>
  <si>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</si>
  <si>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</si>
  <si>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</si>
  <si>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</si>
  <si>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</si>
  <si>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</si>
  <si>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</si>
  <si>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</si>
  <si>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</si>
  <si>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</si>
  <si>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</si>
  <si>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</si>
  <si>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</si>
  <si>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</si>
  <si>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</si>
  <si>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</si>
  <si>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</si>
  <si>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</si>
  <si>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</si>
  <si>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</si>
  <si>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</si>
  <si>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</si>
  <si>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</si>
  <si>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</si>
  <si>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</si>
  <si>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</si>
  <si>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</si>
  <si>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</si>
  <si>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</si>
  <si>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</si>
  <si>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</si>
  <si>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</si>
  <si>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</si>
  <si>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</si>
  <si>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</si>
  <si>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</si>
  <si>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</si>
  <si>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</si>
  <si>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</si>
  <si>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</si>
  <si>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</si>
  <si>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</si>
  <si>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</si>
  <si>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</si>
  <si>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</si>
  <si>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</si>
  <si>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</si>
  <si>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</si>
  <si>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</si>
  <si>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</si>
  <si>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</si>
  <si>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</si>
  <si>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</si>
  <si>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</si>
  <si>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</si>
  <si>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</si>
  <si>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</si>
  <si>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</si>
  <si>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</si>
  <si>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</si>
  <si>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</si>
  <si>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</si>
  <si>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</si>
  <si>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</si>
  <si>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</si>
  <si>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</si>
  <si>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</si>
  <si>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</si>
  <si>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</si>
  <si>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</si>
  <si>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</si>
  <si>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</si>
  <si>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</si>
  <si>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</si>
  <si>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</si>
  <si>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</si>
  <si>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</si>
  <si>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</si>
  <si>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</si>
  <si>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</si>
  <si>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</si>
  <si>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</si>
  <si>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</si>
  <si>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</si>
  <si>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</si>
  <si>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</si>
  <si>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</si>
  <si>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</si>
  <si>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</si>
  <si>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</si>
  <si>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</si>
  <si>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</si>
  <si>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</si>
  <si>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</si>
  <si>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</si>
  <si>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</si>
  <si>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</si>
  <si>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</si>
  <si>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</si>
  <si>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</si>
  <si>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</si>
  <si>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</si>
  <si>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</si>
  <si>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</si>
  <si>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</si>
  <si>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</si>
  <si>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</si>
  <si>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</si>
  <si>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</si>
  <si>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</si>
  <si>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</si>
  <si>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</si>
  <si>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</si>
  <si>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</si>
  <si>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</si>
  <si>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</si>
  <si>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</si>
  <si>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</si>
  <si>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</si>
  <si>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</si>
  <si>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</si>
  <si>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</si>
  <si>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</si>
  <si>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</si>
  <si>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</si>
  <si>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</si>
  <si>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</si>
  <si>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</si>
  <si>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</si>
  <si>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</si>
  <si>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</si>
  <si>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</si>
  <si>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</si>
  <si>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</si>
  <si>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</si>
  <si>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</si>
  <si>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</si>
  <si>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</si>
  <si>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</si>
  <si>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</si>
  <si>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</si>
  <si>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</si>
  <si>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</si>
  <si>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</si>
  <si>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</si>
  <si>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</si>
  <si>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</si>
  <si>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</si>
  <si>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</si>
  <si>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</si>
  <si>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</si>
  <si>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</si>
  <si>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</si>
  <si>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</si>
  <si>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</si>
  <si>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</si>
  <si>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</si>
  <si>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</si>
  <si>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</si>
  <si>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</si>
  <si>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</si>
  <si>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</si>
  <si>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</si>
  <si>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</si>
  <si>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</si>
  <si>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</si>
  <si>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</si>
  <si>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</si>
  <si>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</si>
  <si>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</si>
  <si>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</si>
  <si>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</si>
  <si>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</si>
  <si>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</si>
  <si>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</si>
  <si>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</si>
  <si>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</si>
  <si>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</si>
  <si>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</si>
  <si>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</si>
  <si>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</si>
  <si>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</si>
  <si>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</si>
  <si>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</si>
  <si>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</si>
  <si>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</si>
  <si>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</si>
  <si>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</si>
  <si>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</si>
  <si>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</si>
  <si>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</si>
  <si>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</si>
  <si>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</si>
  <si>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</si>
  <si>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</si>
  <si>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</si>
  <si>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</si>
  <si>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</si>
  <si>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</si>
  <si>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</si>
  <si>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</si>
  <si>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</si>
  <si>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</si>
  <si>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</si>
  <si>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</si>
  <si>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</si>
  <si>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</si>
  <si>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</si>
  <si>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</si>
  <si>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</si>
  <si>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</si>
  <si>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</si>
  <si>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</si>
  <si>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</si>
  <si>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</si>
  <si>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</si>
  <si>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</si>
  <si>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</si>
  <si>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</si>
  <si>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</si>
  <si>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</si>
  <si>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</si>
  <si>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</si>
  <si>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</si>
  <si>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</si>
  <si>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</si>
  <si>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</si>
  <si>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</si>
  <si>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</si>
  <si>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</si>
  <si>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</si>
  <si>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</si>
  <si>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</si>
  <si>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</si>
  <si>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</si>
  <si>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</si>
  <si>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</si>
  <si>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</si>
  <si>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</si>
  <si>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</si>
  <si>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</si>
  <si>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</si>
  <si>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</si>
  <si>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</si>
  <si>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</si>
  <si>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</si>
  <si>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</si>
  <si>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</si>
  <si>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</si>
  <si>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</si>
  <si>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</si>
  <si>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</si>
  <si>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</si>
  <si>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</si>
  <si>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</si>
  <si>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</si>
  <si>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</si>
  <si>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</si>
  <si>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</si>
  <si>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</si>
  <si>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</si>
  <si>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</si>
  <si>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</si>
  <si>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</si>
  <si>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</si>
  <si>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</si>
  <si>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</si>
  <si>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</si>
  <si>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</si>
  <si>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</si>
  <si>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</si>
  <si>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</si>
  <si>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</si>
  <si>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</si>
  <si>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</si>
  <si>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</si>
  <si>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</si>
  <si>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</si>
  <si>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</si>
  <si>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</si>
  <si>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</si>
  <si>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</si>
  <si>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</si>
  <si>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</si>
  <si>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</si>
  <si>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</si>
  <si>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</si>
  <si>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</si>
  <si>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</si>
  <si>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</si>
  <si>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</si>
  <si>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</si>
  <si>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</si>
  <si>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</si>
  <si>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</si>
  <si>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</si>
  <si>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</si>
  <si>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</si>
  <si>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</si>
  <si>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</si>
  <si>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</si>
  <si>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</si>
  <si>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</si>
  <si>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</si>
  <si>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</si>
  <si>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</si>
  <si>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</si>
  <si>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</si>
  <si>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</si>
  <si>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</si>
  <si>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</si>
  <si>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</si>
  <si>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</si>
  <si>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</si>
  <si>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</si>
  <si>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</si>
  <si>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</si>
  <si>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</si>
  <si>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</si>
  <si>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</si>
  <si>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</si>
  <si>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</si>
  <si>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</si>
  <si>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</si>
  <si>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</si>
  <si>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</si>
  <si>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</si>
  <si>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</si>
  <si>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</si>
  <si>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</si>
  <si>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</si>
  <si>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</si>
  <si>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</si>
  <si>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</si>
  <si>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</si>
  <si>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</si>
  <si>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</si>
  <si>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</si>
  <si>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</si>
  <si>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</si>
  <si>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</si>
  <si>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</si>
  <si>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</si>
  <si>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</si>
  <si>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</si>
  <si>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</si>
  <si>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</si>
  <si>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</si>
  <si>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</si>
  <si>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</si>
  <si>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</si>
  <si>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</si>
  <si>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</si>
  <si>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</si>
  <si>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</si>
  <si>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</si>
  <si>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</si>
  <si>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</si>
  <si>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</si>
  <si>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</si>
  <si>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</si>
  <si>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</si>
  <si>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</si>
  <si>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</si>
  <si>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</si>
  <si>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</si>
  <si>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</si>
  <si>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</si>
  <si>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</si>
  <si>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</si>
  <si>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</si>
  <si>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</si>
  <si>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</si>
  <si>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</si>
  <si>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</si>
  <si>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</si>
  <si>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</si>
  <si>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</si>
  <si>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</si>
  <si>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</si>
  <si>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</si>
  <si>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</si>
  <si>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</si>
  <si>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</si>
  <si>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</si>
  <si>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</si>
  <si>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</si>
  <si>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</si>
  <si>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</si>
  <si>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</si>
  <si>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</si>
  <si>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</si>
  <si>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</si>
  <si>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</si>
  <si>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</si>
  <si>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</si>
  <si>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</si>
  <si>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</si>
  <si>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</si>
  <si>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</si>
  <si>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</si>
  <si>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</si>
  <si>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</si>
  <si>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</si>
  <si>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</si>
  <si>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</si>
  <si>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</si>
  <si>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</si>
  <si>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</si>
  <si>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</si>
  <si>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</si>
  <si>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</si>
  <si>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</si>
  <si>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</si>
  <si>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</si>
  <si>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</si>
  <si>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</si>
  <si>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</si>
  <si>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</si>
  <si>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</si>
  <si>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</si>
  <si>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</si>
  <si>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</si>
  <si>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</si>
  <si>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</si>
  <si>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</si>
  <si>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</si>
  <si>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</si>
  <si>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</si>
  <si>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</si>
  <si>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</si>
  <si>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</si>
  <si>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</si>
  <si>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</si>
  <si>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</si>
  <si>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</si>
  <si>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</si>
  <si>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</si>
  <si>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</si>
  <si>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</si>
  <si>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</si>
  <si>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</si>
  <si>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</si>
  <si>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</si>
  <si>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</si>
  <si>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</si>
  <si>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</si>
  <si>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</si>
  <si>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</si>
  <si>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</si>
  <si>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</si>
  <si>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</si>
  <si>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</si>
  <si>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</si>
  <si>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</si>
  <si>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</si>
  <si>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</si>
  <si>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</si>
  <si>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</si>
  <si>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</si>
  <si>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</si>
  <si>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</si>
  <si>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</si>
  <si>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</si>
  <si>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</si>
  <si>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</si>
  <si>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</si>
  <si>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</si>
  <si>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</si>
  <si>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</si>
  <si>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</si>
  <si>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</si>
  <si>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</si>
  <si>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</si>
  <si>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</si>
  <si>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</si>
  <si>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</si>
  <si>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</si>
  <si>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</si>
  <si>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</si>
  <si>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</si>
  <si>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</si>
  <si>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</si>
  <si>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</si>
  <si>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</si>
  <si>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</si>
  <si>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</si>
  <si>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</si>
  <si>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</si>
  <si>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</si>
  <si>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</si>
  <si>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</si>
  <si>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</si>
  <si>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</si>
  <si>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</si>
  <si>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</si>
  <si>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</si>
  <si>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</si>
  <si>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</si>
  <si>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</si>
  <si>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</si>
  <si>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</si>
  <si>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</si>
  <si>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</si>
  <si>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</si>
  <si>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</si>
  <si>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</si>
  <si>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</si>
  <si>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</si>
  <si>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</si>
  <si>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</si>
  <si>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</si>
  <si>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</si>
  <si>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</si>
  <si>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</si>
  <si>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</si>
  <si>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</si>
  <si>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</si>
  <si>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</si>
  <si>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</si>
  <si>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</si>
  <si>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</si>
  <si>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</si>
  <si>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</si>
  <si>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</si>
  <si>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</si>
  <si>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</si>
  <si>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</si>
  <si>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</si>
  <si>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</si>
  <si>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</si>
  <si>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</si>
  <si>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</si>
  <si>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</si>
  <si>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</si>
  <si>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</si>
  <si>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</si>
  <si>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</si>
  <si>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</si>
  <si>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</si>
  <si>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</si>
  <si>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</si>
  <si>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</si>
  <si>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</si>
  <si>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</si>
  <si>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</si>
  <si>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</si>
  <si>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</si>
  <si>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</si>
  <si>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</si>
  <si>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</si>
  <si>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</si>
  <si>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</si>
  <si>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</si>
  <si>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</si>
  <si>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</si>
  <si>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</si>
  <si>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</si>
  <si>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</si>
  <si>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</si>
  <si>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</si>
  <si>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</si>
  <si>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</si>
  <si>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</si>
  <si>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</si>
  <si>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</si>
  <si>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</si>
  <si>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</si>
  <si>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</si>
  <si>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</si>
  <si>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</si>
  <si>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</si>
  <si>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</si>
  <si>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</si>
  <si>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</si>
  <si>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</si>
  <si>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</si>
  <si>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</si>
  <si>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</si>
  <si>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</si>
  <si>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</si>
  <si>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</si>
  <si>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</si>
  <si>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</si>
  <si>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</si>
  <si>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</si>
  <si>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</si>
  <si>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</si>
  <si>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</si>
  <si>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</si>
  <si>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</si>
  <si>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</si>
  <si>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</si>
  <si>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</si>
  <si>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</si>
  <si>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</si>
  <si>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</si>
  <si>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</si>
  <si>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</si>
  <si>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</si>
  <si>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</si>
  <si>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</si>
  <si>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</si>
  <si>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</si>
  <si>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</si>
  <si>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</si>
  <si>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</si>
  <si>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</si>
  <si>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</si>
  <si>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</si>
  <si>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</si>
  <si>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</si>
  <si>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</si>
  <si>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</si>
  <si>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</si>
  <si>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</si>
  <si>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</si>
  <si>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</si>
  <si>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</si>
  <si>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</si>
  <si>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</si>
  <si>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</si>
  <si>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</si>
  <si>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</si>
  <si>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</si>
  <si>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</si>
  <si>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</si>
  <si>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</si>
  <si>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</si>
  <si>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</si>
  <si>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</si>
  <si>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</si>
  <si>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</si>
  <si>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</si>
  <si>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</si>
  <si>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</si>
  <si>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</si>
  <si>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</si>
  <si>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</si>
  <si>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</si>
  <si>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</si>
  <si>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</si>
  <si>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</si>
  <si>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</si>
  <si>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</si>
  <si>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</si>
  <si>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</si>
  <si>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</si>
  <si>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</si>
  <si>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</si>
  <si>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</si>
  <si>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</si>
  <si>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</si>
  <si>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</si>
  <si>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</si>
  <si>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</si>
  <si>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</si>
  <si>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</si>
  <si>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</si>
  <si>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</si>
  <si>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</si>
  <si>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</si>
  <si>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</si>
  <si>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</si>
  <si>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</si>
  <si>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</si>
  <si>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</si>
  <si>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</si>
  <si>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</si>
  <si>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</si>
  <si>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</si>
  <si>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</si>
  <si>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</si>
  <si>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</si>
  <si>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</si>
  <si>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</si>
  <si>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</si>
  <si>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</si>
  <si>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</si>
  <si>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</si>
  <si>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</si>
  <si>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</si>
  <si>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</si>
  <si>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</si>
  <si>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</si>
  <si>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</si>
  <si>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</si>
  <si>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</si>
  <si>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</si>
  <si>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</si>
  <si>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</si>
  <si>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</si>
  <si>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</si>
  <si>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</si>
  <si>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</si>
  <si>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</si>
  <si>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</si>
  <si>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</si>
  <si>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</si>
  <si>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</si>
  <si>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</si>
  <si>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</si>
  <si>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</si>
  <si>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</si>
  <si>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</si>
  <si>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</si>
  <si>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</si>
  <si>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</si>
  <si>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</si>
  <si>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</si>
  <si>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</si>
  <si>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</si>
  <si>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</si>
  <si>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</si>
  <si>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</si>
  <si>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</si>
  <si>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</si>
  <si>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</si>
  <si>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</si>
  <si>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</si>
  <si>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</si>
  <si>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</si>
  <si>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</si>
  <si>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</si>
  <si>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</si>
  <si>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</si>
  <si>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</si>
  <si>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</si>
  <si>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</si>
  <si>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</si>
  <si>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</si>
  <si>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</si>
  <si>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</si>
  <si>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</si>
  <si>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</si>
  <si>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</si>
  <si>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</si>
  <si>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</si>
  <si>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</si>
  <si>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</si>
  <si>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</si>
  <si>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</si>
  <si>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</si>
  <si>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</si>
  <si>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</si>
  <si>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</si>
  <si>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</si>
  <si>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</si>
  <si>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</si>
  <si>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</si>
  <si>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</si>
  <si>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</si>
  <si>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</si>
  <si>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</si>
  <si>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</si>
  <si>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</si>
  <si>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</si>
  <si>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</si>
  <si>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</si>
  <si>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</si>
  <si>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</si>
  <si>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</si>
  <si>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</si>
  <si>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</si>
  <si>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</si>
  <si>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</si>
  <si>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</si>
  <si>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</si>
  <si>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</si>
  <si>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</si>
  <si>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</si>
  <si>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</si>
  <si>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</si>
  <si>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</si>
  <si>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</si>
  <si>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</si>
  <si>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</si>
  <si>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</si>
  <si>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</si>
  <si>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</si>
  <si>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</si>
  <si>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</si>
  <si>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</si>
  <si>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</si>
  <si>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</si>
  <si>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</si>
  <si>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</si>
  <si>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</si>
  <si>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</si>
  <si>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</si>
  <si>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</si>
  <si>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</si>
  <si>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</si>
  <si>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</si>
  <si>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</si>
  <si>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</si>
  <si>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</si>
  <si>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</si>
  <si>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</si>
  <si>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</si>
  <si>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</si>
  <si>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</si>
  <si>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</si>
  <si>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</si>
  <si>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</si>
  <si>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</si>
  <si>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</si>
  <si>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</si>
  <si>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</si>
  <si>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</si>
  <si>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</si>
  <si>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</si>
  <si>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</si>
  <si>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</si>
  <si>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</si>
  <si>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</si>
  <si>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</si>
  <si>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</si>
  <si>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</si>
  <si>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</si>
  <si>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</si>
  <si>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</si>
  <si>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</si>
  <si>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</si>
  <si>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</si>
  <si>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</si>
  <si>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</si>
  <si>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</si>
  <si>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</si>
  <si>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</si>
  <si>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</si>
  <si>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</si>
  <si>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</si>
  <si>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</si>
  <si>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</si>
  <si>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</si>
  <si>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</si>
  <si>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</si>
  <si>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</si>
  <si>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</si>
  <si>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</si>
  <si>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</si>
  <si>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</si>
  <si>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</si>
  <si>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</si>
  <si>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</si>
  <si>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</si>
  <si>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</si>
  <si>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</si>
  <si>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</si>
  <si>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</si>
  <si>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</si>
  <si>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</si>
  <si>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</si>
  <si>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</si>
  <si>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</si>
  <si>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</si>
  <si>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</si>
  <si>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</si>
  <si>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</si>
  <si>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</si>
  <si>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</si>
  <si>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</si>
  <si>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</si>
  <si>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</si>
  <si>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</si>
  <si>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</si>
  <si>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</si>
  <si>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</si>
  <si>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</si>
  <si>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</si>
  <si>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</si>
  <si>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</si>
  <si>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</si>
  <si>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</si>
  <si>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</si>
  <si>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</si>
  <si>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</si>
  <si>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</si>
  <si>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</si>
  <si>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</si>
  <si>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</si>
  <si>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</si>
  <si>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</si>
  <si>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</si>
  <si>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</si>
  <si>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</si>
  <si>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</si>
  <si>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</si>
  <si>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</si>
  <si>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</si>
  <si>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</si>
  <si>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</si>
  <si>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</si>
  <si>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</si>
  <si>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</si>
  <si>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</si>
  <si>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</si>
  <si>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</si>
  <si>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</si>
  <si>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</si>
  <si>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</si>
  <si>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</si>
  <si>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</si>
  <si>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</si>
  <si>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</si>
  <si>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</si>
  <si>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</si>
  <si>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</si>
  <si>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</si>
  <si>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</si>
  <si>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</si>
  <si>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</si>
  <si>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</si>
  <si>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</si>
  <si>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</si>
  <si>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</si>
  <si>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</si>
  <si>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</si>
  <si>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</si>
  <si>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</si>
  <si>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</si>
  <si>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</si>
  <si>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</si>
  <si>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</si>
  <si>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</si>
  <si>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</si>
  <si>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</si>
  <si>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</si>
  <si>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</si>
  <si>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</si>
  <si>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</si>
  <si>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</si>
  <si>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</si>
  <si>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</si>
  <si>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</si>
  <si>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</si>
  <si>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</si>
  <si>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</si>
  <si>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</si>
  <si>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</si>
  <si>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</si>
  <si>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</si>
  <si>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</si>
  <si>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</si>
  <si>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</si>
  <si>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</si>
  <si>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</si>
  <si>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</si>
  <si>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</si>
  <si>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</si>
  <si>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</si>
  <si>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</si>
  <si>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</si>
  <si>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</si>
  <si>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</si>
  <si>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</si>
  <si>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</si>
  <si>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</si>
  <si>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</si>
  <si>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</si>
  <si>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</si>
  <si>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</si>
  <si>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</si>
  <si>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</si>
  <si>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</si>
  <si>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</si>
  <si>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</si>
  <si>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</si>
  <si>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</si>
  <si>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</si>
  <si>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</si>
  <si>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</si>
  <si>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</si>
  <si>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</si>
  <si>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</si>
  <si>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</si>
  <si>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</si>
  <si>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</si>
  <si>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</si>
  <si>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</si>
  <si>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</si>
  <si>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</si>
  <si>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</si>
  <si>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</si>
  <si>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</si>
  <si>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</si>
  <si>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</si>
  <si>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</si>
  <si>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</si>
  <si>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</si>
  <si>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</si>
  <si>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</si>
  <si>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</si>
  <si>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</si>
  <si>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</si>
  <si>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</si>
  <si>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</si>
  <si>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</si>
  <si>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</si>
  <si>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</si>
  <si>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</si>
  <si>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</si>
  <si>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</si>
  <si>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</si>
  <si>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</si>
  <si>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</si>
  <si>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</si>
  <si>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</si>
  <si>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</si>
  <si>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</si>
  <si>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</si>
  <si>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</si>
  <si>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</si>
  <si>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</si>
  <si>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</si>
  <si>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</si>
  <si>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</si>
  <si>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</si>
  <si>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</si>
  <si>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</si>
  <si>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</si>
  <si>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</si>
  <si>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</si>
  <si>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</si>
  <si>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</si>
  <si>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</si>
  <si>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</si>
  <si>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</si>
  <si>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</si>
  <si>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</si>
  <si>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</si>
  <si>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</si>
  <si>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</si>
  <si>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</si>
  <si>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</si>
  <si>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</si>
  <si>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</si>
  <si>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</si>
  <si>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</si>
  <si>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</si>
  <si>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</si>
  <si>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</si>
  <si>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</si>
  <si>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</si>
  <si>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</si>
  <si>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</si>
  <si>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</si>
  <si>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</si>
  <si>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</si>
  <si>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</si>
  <si>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</si>
  <si>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</si>
  <si>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</si>
  <si>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</si>
  <si>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</si>
  <si>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</si>
  <si>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</si>
  <si>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</si>
  <si>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</si>
  <si>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</si>
  <si>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</si>
  <si>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</si>
  <si>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</si>
  <si>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</si>
  <si>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</si>
  <si>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</si>
  <si>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</si>
  <si>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</si>
  <si>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</si>
  <si>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</si>
  <si>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</si>
  <si>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</si>
  <si>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</si>
  <si>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</si>
  <si>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</si>
  <si>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</si>
  <si>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</si>
  <si>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</si>
  <si>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</si>
  <si>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</si>
  <si>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</si>
  <si>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</si>
  <si>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</si>
  <si>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</si>
  <si>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</si>
  <si>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</si>
  <si>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</si>
  <si>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</si>
  <si>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</si>
  <si>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</si>
  <si>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</si>
  <si>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</si>
  <si>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</si>
  <si>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</si>
  <si>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</si>
  <si>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</si>
  <si>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</si>
  <si>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</si>
  <si>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</si>
  <si>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</si>
  <si>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</si>
  <si>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</si>
  <si>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</si>
  <si>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</si>
  <si>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</si>
  <si>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</si>
  <si>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</si>
  <si>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</si>
  <si>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</si>
  <si>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</si>
  <si>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</si>
  <si>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</si>
  <si>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</si>
  <si>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</si>
  <si>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</si>
  <si>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</si>
  <si>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</si>
  <si>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</si>
  <si>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</si>
  <si>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</si>
  <si>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</si>
  <si>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</si>
  <si>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</si>
  <si>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</si>
  <si>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</si>
  <si>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</si>
  <si>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</si>
  <si>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</si>
  <si>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</si>
  <si>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</si>
  <si>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</si>
  <si>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</si>
  <si>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</si>
  <si>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</si>
  <si>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</si>
  <si>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</si>
  <si>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</si>
  <si>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</si>
  <si>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</si>
  <si>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</si>
  <si>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</si>
  <si>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</si>
  <si>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</si>
  <si>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</si>
  <si>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</si>
  <si>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</si>
  <si>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</si>
  <si>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</si>
  <si>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</si>
  <si>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</si>
  <si>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</si>
  <si>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</si>
  <si>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</si>
  <si>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</si>
  <si>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</si>
  <si>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</si>
  <si>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</si>
  <si>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</si>
  <si>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</si>
  <si>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</si>
  <si>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</si>
  <si>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</si>
  <si>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</si>
  <si>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</si>
  <si>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</si>
  <si>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</si>
  <si>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</si>
  <si>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</si>
  <si>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</si>
  <si>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</si>
  <si>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</si>
  <si>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</si>
  <si>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</si>
  <si>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</si>
  <si>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</si>
  <si>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</si>
  <si>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</si>
  <si>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</si>
  <si>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</si>
  <si>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</si>
  <si>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</si>
  <si>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</si>
  <si>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</si>
  <si>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</si>
  <si>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</si>
  <si>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</si>
  <si>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</si>
  <si>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</si>
  <si>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</si>
  <si>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</si>
  <si>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</si>
  <si>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</si>
  <si>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</si>
  <si>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</si>
  <si>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</si>
  <si>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</si>
  <si>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</si>
  <si>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</si>
  <si>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</si>
  <si>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</si>
  <si>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</si>
  <si>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</si>
  <si>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</si>
  <si>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</si>
  <si>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</si>
  <si>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</si>
  <si>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</si>
  <si>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</si>
  <si>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</si>
  <si>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</si>
  <si>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</si>
  <si>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</si>
  <si>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</si>
  <si>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</si>
  <si>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</si>
  <si>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</si>
  <si>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</si>
  <si>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</si>
  <si>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</si>
  <si>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</si>
  <si>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</si>
  <si>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</si>
  <si>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</si>
  <si>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</si>
  <si>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</si>
  <si>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</si>
  <si>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</si>
  <si>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</si>
  <si>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</si>
  <si>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</si>
  <si>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</si>
  <si>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</si>
  <si>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</si>
  <si>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</si>
  <si>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</si>
  <si>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</si>
  <si>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</si>
  <si>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</si>
  <si>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</si>
  <si>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</si>
  <si>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</si>
  <si>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</si>
  <si>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</si>
  <si>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</si>
  <si>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</si>
  <si>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</si>
  <si>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</si>
  <si>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</si>
  <si>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</si>
  <si>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</si>
  <si>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</si>
  <si>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</si>
  <si>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</si>
  <si>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</si>
  <si>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</si>
  <si>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</si>
  <si>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</si>
  <si>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</si>
  <si>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</si>
  <si>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</si>
  <si>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</si>
  <si>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</si>
  <si>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</si>
  <si>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</si>
  <si>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</si>
  <si>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</si>
  <si>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</si>
  <si>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</si>
  <si>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</si>
  <si>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</si>
  <si>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</si>
  <si>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</si>
  <si>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</si>
  <si>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</si>
  <si>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</si>
  <si>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</si>
  <si>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</si>
  <si>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</si>
  <si>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</si>
  <si>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</si>
  <si>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</si>
  <si>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</si>
  <si>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</si>
  <si>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</si>
  <si>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</si>
  <si>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</si>
  <si>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</si>
  <si>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</si>
  <si>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</si>
  <si>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</si>
  <si>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</si>
  <si>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</si>
  <si>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</si>
  <si>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</si>
  <si>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</si>
  <si>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</si>
  <si>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</si>
  <si>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</si>
  <si>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</si>
  <si>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</si>
  <si>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</si>
  <si>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</si>
  <si>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</si>
  <si>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</si>
  <si>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</si>
  <si>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</si>
  <si>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</si>
  <si>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</si>
  <si>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</si>
  <si>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</si>
  <si>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</si>
  <si>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</si>
  <si>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</si>
  <si>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</si>
  <si>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</si>
  <si>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</si>
  <si>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</si>
  <si>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</si>
  <si>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</si>
  <si>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</si>
  <si>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</si>
  <si>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</si>
  <si>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</si>
  <si>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</si>
  <si>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</si>
  <si>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</si>
  <si>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</si>
  <si>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</si>
  <si>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</si>
  <si>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</si>
  <si>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</si>
  <si>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</si>
  <si>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</si>
  <si>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</si>
  <si>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</si>
  <si>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</si>
  <si>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</si>
  <si>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</si>
  <si>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</si>
  <si>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</si>
  <si>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</si>
  <si>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</si>
  <si>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</si>
  <si>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</si>
  <si>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</si>
  <si>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</si>
  <si>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</si>
  <si>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</si>
  <si>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</si>
  <si>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</si>
  <si>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</si>
  <si>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</si>
  <si>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</si>
  <si>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</si>
  <si>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</si>
  <si>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</si>
  <si>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</si>
  <si>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</si>
  <si>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</si>
  <si>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</si>
  <si>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</si>
  <si>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</si>
  <si>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</si>
  <si>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</si>
  <si>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</si>
  <si>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</si>
  <si>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</si>
  <si>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</si>
  <si>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</si>
  <si>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</si>
  <si>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</si>
  <si>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</si>
  <si>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</si>
  <si>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</si>
  <si>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</si>
  <si>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</si>
  <si>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</si>
  <si>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</si>
  <si>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</si>
  <si>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</si>
  <si>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</si>
  <si>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</si>
  <si>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</si>
  <si>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</si>
  <si>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</si>
  <si>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</si>
  <si>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</si>
  <si>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</si>
  <si>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</si>
  <si>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</si>
  <si>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</si>
  <si>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</si>
  <si>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</si>
  <si>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</si>
  <si>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</si>
  <si>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</si>
  <si>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</si>
  <si>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</si>
  <si>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</si>
  <si>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</si>
  <si>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</si>
  <si>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</si>
  <si>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</si>
  <si>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</si>
  <si>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</si>
  <si>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</si>
  <si>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</si>
  <si>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</si>
  <si>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</si>
  <si>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</si>
  <si>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</si>
  <si>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</si>
  <si>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</si>
  <si>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</si>
  <si>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</si>
  <si>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</si>
  <si>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</si>
  <si>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</si>
  <si>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</si>
  <si>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</si>
  <si>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</si>
  <si>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</si>
  <si>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</si>
  <si>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</si>
  <si>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</si>
  <si>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</si>
  <si>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</si>
  <si>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</si>
  <si>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</si>
  <si>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</si>
  <si>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</si>
  <si>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</si>
  <si>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</si>
  <si>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</si>
  <si>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</si>
  <si>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</si>
  <si>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</si>
  <si>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</si>
  <si>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</si>
  <si>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</si>
  <si>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</si>
  <si>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</si>
  <si>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</si>
  <si>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</si>
  <si>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</si>
  <si>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</si>
  <si>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</si>
  <si>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</si>
  <si>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</si>
  <si>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</si>
  <si>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</si>
  <si>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</si>
  <si>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</si>
  <si>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</si>
  <si>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</si>
  <si>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</si>
  <si>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</si>
  <si>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</si>
  <si>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</si>
  <si>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</si>
  <si>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</si>
  <si>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</si>
  <si>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</si>
  <si>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</si>
  <si>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</si>
  <si>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</si>
  <si>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</si>
  <si>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</si>
  <si>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</si>
  <si>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</si>
  <si>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</si>
  <si>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</si>
  <si>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</si>
  <si>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</si>
  <si>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</si>
  <si>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</si>
  <si>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</si>
  <si>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</si>
  <si>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</si>
  <si>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</si>
  <si>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</si>
  <si>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</si>
  <si>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</si>
  <si>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</si>
  <si>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</si>
  <si>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</si>
  <si>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</si>
  <si>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</si>
  <si>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</si>
  <si>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</si>
  <si>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</si>
  <si>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</si>
  <si>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</si>
  <si>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</si>
  <si>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</si>
  <si>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</si>
  <si>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</si>
  <si>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</si>
  <si>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</si>
  <si>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</si>
  <si>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</si>
  <si>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</si>
  <si>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</si>
  <si>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</si>
  <si>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</si>
  <si>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</si>
  <si>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</si>
  <si>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</si>
  <si>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</si>
  <si>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</si>
  <si>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</si>
  <si>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</si>
  <si>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</si>
  <si>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</si>
  <si>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</si>
  <si>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</si>
  <si>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</si>
  <si>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</si>
  <si>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</si>
  <si>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</si>
  <si>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</si>
  <si>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</si>
  <si>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</si>
  <si>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</si>
  <si>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</si>
  <si>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</si>
  <si>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</si>
  <si>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</si>
  <si>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</si>
  <si>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</si>
  <si>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</si>
  <si>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</si>
  <si>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</si>
  <si>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</si>
  <si>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</si>
  <si>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</si>
  <si>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</si>
  <si>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</si>
  <si>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</si>
  <si>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</si>
  <si>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</si>
  <si>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</si>
  <si>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</si>
  <si>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</si>
  <si>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</si>
  <si>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</si>
  <si>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</si>
  <si>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</si>
  <si>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</si>
  <si>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</si>
  <si>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</si>
  <si>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</si>
  <si>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</si>
  <si>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</si>
  <si>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</si>
  <si>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</si>
  <si>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</si>
  <si>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</si>
  <si>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</si>
  <si>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</si>
  <si>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</si>
  <si>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</si>
  <si>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</si>
  <si>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</si>
  <si>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</si>
  <si>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</si>
  <si>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</si>
  <si>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</si>
  <si>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</si>
  <si>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</si>
  <si>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</si>
  <si>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</si>
  <si>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</si>
  <si>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</si>
  <si>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</si>
  <si>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</si>
  <si>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</si>
  <si>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</si>
  <si>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</si>
  <si>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</si>
  <si>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</si>
  <si>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</si>
  <si>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</si>
  <si>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</si>
  <si>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</si>
  <si>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</si>
  <si>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</si>
  <si>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</si>
  <si>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</si>
  <si>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</si>
  <si>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</si>
  <si>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</si>
  <si>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</si>
  <si>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</si>
  <si>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</si>
  <si>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</si>
  <si>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</si>
  <si>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</si>
  <si>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</si>
  <si>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</si>
  <si>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</si>
  <si>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</si>
  <si>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</si>
  <si>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</si>
  <si>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</si>
  <si>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</si>
  <si>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</si>
  <si>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</si>
  <si>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</si>
  <si>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</si>
  <si>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</si>
  <si>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</si>
  <si>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</si>
  <si>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</si>
  <si>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</si>
  <si>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</si>
  <si>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</si>
  <si>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</si>
  <si>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</si>
  <si>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</si>
  <si>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</si>
  <si>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</si>
  <si>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</si>
  <si>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</si>
  <si>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</si>
  <si>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</si>
  <si>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</si>
  <si>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</si>
  <si>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</si>
  <si>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</si>
  <si>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</si>
  <si>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</si>
  <si>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</si>
  <si>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</si>
  <si>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</si>
  <si>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</si>
  <si>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</si>
  <si>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</si>
  <si>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</si>
  <si>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</si>
  <si>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</si>
  <si>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</si>
  <si>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</si>
  <si>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</si>
  <si>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</si>
  <si>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</si>
  <si>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</si>
  <si>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</si>
  <si>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</si>
  <si>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</si>
  <si>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</si>
  <si>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</si>
  <si>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</si>
  <si>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</si>
  <si>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</si>
  <si>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</si>
  <si>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</si>
  <si>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</si>
  <si>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</si>
  <si>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</si>
  <si>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</si>
  <si>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</si>
  <si>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</si>
  <si>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</si>
  <si>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</si>
  <si>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</si>
  <si>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</si>
  <si>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</si>
  <si>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</si>
  <si>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</si>
  <si>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</si>
  <si>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</si>
  <si>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</si>
  <si>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</si>
  <si>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</si>
  <si>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</si>
  <si>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</si>
  <si>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</si>
  <si>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</si>
  <si>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</si>
  <si>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</si>
  <si>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</si>
  <si>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</si>
  <si>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</si>
  <si>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</si>
  <si>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</si>
  <si>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</si>
  <si>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</si>
  <si>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</si>
  <si>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</si>
  <si>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</si>
  <si>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</si>
  <si>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</si>
  <si>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</si>
  <si>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</si>
  <si>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</si>
  <si>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</si>
  <si>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</si>
  <si>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</si>
  <si>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</si>
  <si>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</si>
  <si>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</si>
  <si>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</si>
  <si>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</si>
  <si>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</si>
  <si>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</si>
  <si>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</si>
  <si>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</si>
  <si>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</si>
  <si>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</si>
  <si>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</si>
  <si>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</si>
  <si>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</si>
  <si>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</si>
  <si>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</si>
  <si>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</si>
  <si>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</si>
  <si>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</si>
  <si>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</si>
  <si>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</si>
  <si>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</si>
  <si>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</si>
  <si>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</si>
  <si>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</si>
  <si>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</si>
  <si>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</si>
  <si>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</si>
  <si>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</si>
  <si>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</si>
  <si>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</si>
  <si>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</si>
  <si>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</si>
  <si>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</si>
  <si>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</si>
  <si>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</si>
  <si>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</si>
  <si>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</si>
  <si>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</si>
  <si>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</si>
  <si>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</si>
  <si>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</si>
  <si>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</si>
  <si>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</si>
  <si>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</si>
  <si>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</si>
  <si>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</si>
  <si>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</si>
  <si>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</si>
  <si>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</si>
  <si>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</si>
  <si>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</si>
  <si>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</si>
  <si>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</si>
  <si>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</si>
  <si>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</si>
  <si>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</si>
  <si>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</si>
  <si>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</si>
  <si>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</si>
  <si>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</si>
  <si>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</si>
  <si>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</si>
  <si>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</si>
  <si>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</si>
  <si>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</si>
  <si>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</si>
  <si>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</si>
  <si>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</si>
  <si>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</si>
  <si>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</si>
  <si>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</si>
  <si>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</si>
  <si>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</si>
  <si>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</si>
  <si>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</si>
  <si>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</si>
  <si>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</si>
  <si>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</si>
  <si>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</si>
  <si>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</si>
  <si>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</si>
  <si>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</si>
  <si>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</si>
  <si>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</si>
  <si>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</si>
  <si>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</si>
  <si>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</si>
  <si>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</si>
  <si>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</si>
  <si>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</si>
  <si>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</si>
  <si>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</si>
  <si>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</si>
  <si>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</si>
  <si>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</si>
  <si>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</si>
  <si>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</si>
  <si>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</si>
  <si>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</si>
  <si>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</si>
  <si>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</si>
  <si>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</si>
  <si>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</si>
  <si>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</si>
  <si>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</si>
  <si>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</si>
  <si>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</si>
  <si>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</si>
  <si>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</si>
  <si>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</si>
  <si>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</si>
  <si>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</si>
  <si>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</si>
  <si>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</si>
  <si>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</si>
  <si>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</si>
  <si>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</si>
  <si>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</si>
  <si>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</si>
  <si>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</si>
  <si>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</si>
  <si>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</si>
  <si>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</si>
  <si>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</si>
  <si>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</si>
  <si>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</si>
  <si>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</si>
  <si>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</si>
  <si>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</si>
  <si>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</si>
  <si>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</si>
  <si>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</si>
  <si>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</si>
  <si>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</si>
  <si>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</si>
  <si>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</si>
  <si>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</si>
  <si>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</si>
  <si>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</si>
  <si>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</si>
  <si>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</si>
  <si>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</si>
  <si>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</si>
  <si>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</si>
  <si>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</si>
  <si>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</si>
  <si>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</si>
  <si>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</si>
  <si>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</si>
  <si>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</si>
  <si>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</si>
  <si>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</si>
  <si>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</si>
  <si>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</si>
  <si>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</si>
  <si>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</si>
  <si>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</si>
  <si>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</si>
  <si>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</si>
  <si>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</si>
  <si>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</si>
  <si>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</si>
  <si>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</si>
  <si>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</si>
  <si>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</si>
  <si>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</si>
  <si>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</si>
  <si>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</si>
  <si>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</si>
  <si>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</si>
  <si>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</si>
  <si>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</si>
  <si>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</si>
  <si>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</si>
  <si>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</si>
  <si>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</si>
  <si>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</si>
  <si>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</si>
  <si>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</si>
  <si>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</si>
  <si>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</si>
  <si>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</si>
  <si>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</si>
  <si>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</si>
  <si>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</si>
  <si>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</si>
  <si>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</si>
  <si>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</si>
  <si>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</si>
  <si>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</si>
  <si>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</si>
  <si>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</si>
  <si>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</si>
  <si>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</si>
  <si>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</si>
  <si>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</si>
  <si>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</si>
  <si>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</si>
  <si>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</si>
  <si>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</si>
  <si>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</si>
  <si>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</si>
  <si>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</si>
  <si>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</si>
  <si>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</si>
  <si>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</si>
  <si>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</si>
  <si>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</si>
  <si>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</si>
  <si>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</si>
  <si>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</si>
  <si>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</si>
  <si>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</si>
  <si>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</si>
  <si>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</si>
  <si>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</si>
  <si>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</si>
  <si>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</si>
  <si>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</si>
  <si>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</si>
  <si>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</si>
  <si>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</si>
  <si>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</si>
  <si>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</si>
  <si>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</si>
  <si>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</si>
  <si>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</si>
  <si>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</si>
  <si>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</si>
  <si>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</si>
  <si>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</si>
  <si>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</si>
  <si>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</si>
  <si>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</si>
  <si>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</si>
  <si>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</si>
  <si>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</si>
  <si>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</si>
  <si>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</si>
  <si>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</si>
  <si>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</si>
  <si>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</si>
  <si>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</si>
  <si>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</si>
  <si>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</si>
  <si>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</si>
  <si>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</si>
  <si>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</si>
  <si>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</si>
  <si>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</si>
  <si>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</si>
  <si>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</si>
  <si>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</si>
  <si>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</si>
  <si>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</si>
  <si>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</si>
  <si>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</si>
  <si>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</si>
  <si>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</si>
  <si>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</si>
  <si>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</si>
  <si>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</si>
  <si>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</si>
  <si>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</si>
  <si>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</si>
  <si>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</si>
  <si>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</si>
  <si>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</si>
  <si>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</si>
  <si>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</si>
  <si>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</si>
  <si>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</si>
  <si>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</si>
  <si>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</si>
  <si>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</si>
  <si>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</si>
  <si>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</si>
  <si>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</si>
  <si>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</si>
  <si>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</si>
  <si>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</si>
  <si>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</si>
  <si>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</si>
  <si>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</si>
  <si>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</si>
  <si>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</si>
  <si>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</si>
  <si>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</si>
  <si>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</si>
  <si>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</si>
  <si>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</si>
  <si>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</si>
  <si>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</si>
  <si>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</si>
  <si>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</si>
  <si>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</si>
  <si>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</si>
  <si>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</si>
  <si>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</si>
  <si>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</si>
  <si>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</si>
  <si>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</si>
  <si>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</si>
  <si>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</si>
  <si>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</si>
  <si>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</si>
  <si>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</si>
  <si>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</si>
  <si>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</si>
  <si>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</si>
  <si>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</si>
  <si>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</si>
  <si>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</si>
  <si>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</si>
  <si>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</si>
  <si>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</si>
  <si>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</si>
  <si>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</si>
  <si>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</si>
  <si>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</si>
  <si>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</si>
  <si>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</si>
  <si>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</si>
  <si>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</si>
  <si>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</si>
  <si>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</si>
  <si>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</si>
  <si>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</si>
  <si>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</si>
  <si>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</si>
  <si>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</si>
  <si>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</si>
  <si>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</si>
  <si>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</si>
  <si>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</si>
  <si>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</si>
  <si>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</si>
  <si>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</si>
  <si>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</si>
  <si>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</si>
  <si>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</si>
  <si>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</si>
  <si>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</si>
  <si>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</si>
  <si>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</si>
  <si>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</si>
  <si>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</si>
  <si>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</si>
  <si>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</si>
  <si>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</si>
  <si>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</si>
  <si>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</si>
  <si>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</si>
  <si>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</si>
  <si>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</si>
  <si>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</si>
  <si>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</si>
  <si>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</si>
  <si>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</si>
  <si>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</si>
  <si>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</si>
  <si>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</si>
  <si>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</si>
  <si>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</si>
  <si>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</si>
  <si>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</si>
  <si>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</si>
  <si>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</si>
  <si>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</si>
  <si>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</si>
  <si>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</si>
  <si>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</si>
  <si>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</si>
  <si>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</si>
  <si>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</si>
  <si>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</si>
  <si>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</si>
  <si>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</si>
  <si>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</si>
  <si>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</si>
  <si>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</si>
  <si>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</si>
  <si>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</si>
  <si>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</si>
  <si>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</si>
  <si>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</si>
  <si>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</si>
  <si>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</si>
  <si>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</si>
  <si>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</si>
  <si>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</si>
  <si>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</si>
  <si>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</si>
  <si>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</si>
  <si>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</si>
  <si>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</si>
  <si>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</si>
  <si>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</si>
  <si>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</si>
  <si>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</si>
  <si>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</si>
  <si>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</si>
  <si>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</si>
  <si>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</si>
  <si>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</si>
  <si>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</si>
  <si>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</si>
  <si>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</si>
  <si>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</si>
  <si>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</si>
  <si>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</si>
  <si>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</si>
  <si>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</si>
  <si>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</si>
  <si>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</si>
  <si>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</si>
  <si>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</si>
  <si>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</si>
  <si>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</si>
  <si>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</si>
  <si>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</si>
  <si>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</si>
  <si>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</si>
  <si>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</si>
  <si>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</si>
  <si>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</si>
  <si>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</si>
  <si>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</si>
  <si>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</si>
  <si>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</si>
  <si>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</si>
  <si>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</si>
  <si>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</si>
  <si>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</si>
  <si>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</si>
  <si>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</si>
  <si>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</si>
  <si>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</si>
  <si>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</si>
  <si>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</si>
  <si>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</si>
  <si>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</si>
  <si>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</si>
  <si>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</si>
  <si>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</si>
  <si>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</si>
  <si>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</si>
  <si>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</si>
  <si>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</si>
  <si>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</si>
  <si>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</si>
  <si>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</si>
  <si>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</si>
  <si>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</si>
  <si>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</si>
  <si>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</si>
  <si>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</si>
  <si>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</si>
  <si>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</si>
  <si>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</si>
  <si>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</si>
  <si>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</si>
  <si>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</si>
  <si>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</si>
  <si>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</si>
  <si>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</si>
  <si>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</si>
  <si>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</si>
  <si>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</si>
  <si>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</si>
  <si>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</si>
  <si>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</si>
  <si>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</si>
  <si>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</si>
  <si>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</si>
  <si>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</si>
  <si>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</si>
  <si>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</si>
  <si>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</si>
  <si>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</si>
  <si>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</si>
  <si>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</si>
  <si>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</si>
  <si>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</si>
  <si>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</si>
  <si>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</si>
  <si>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</si>
  <si>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</si>
  <si>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</si>
  <si>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</si>
  <si>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</si>
  <si>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</si>
  <si>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</si>
  <si>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</si>
  <si>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</si>
  <si>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</si>
  <si>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</si>
  <si>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</si>
  <si>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</si>
  <si>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</si>
  <si>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</si>
  <si>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</si>
  <si>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</si>
  <si>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</si>
  <si>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</si>
  <si>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</si>
  <si>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</si>
  <si>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</si>
  <si>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</si>
  <si>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</si>
  <si>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</si>
  <si>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</si>
  <si>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</si>
  <si>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</si>
  <si>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</si>
  <si>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</si>
  <si>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</si>
  <si>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</si>
  <si>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</si>
  <si>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</si>
  <si>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</si>
  <si>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</si>
  <si>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</si>
  <si>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</si>
  <si>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</si>
  <si>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</si>
  <si>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</si>
  <si>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</si>
  <si>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</si>
  <si>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</si>
  <si>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</si>
  <si>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</si>
  <si>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</si>
  <si>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</si>
  <si>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</si>
  <si>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</si>
  <si>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</si>
  <si>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</si>
  <si>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</si>
  <si>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</si>
  <si>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</si>
  <si>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</si>
  <si>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</si>
  <si>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</si>
  <si>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</si>
  <si>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</si>
  <si>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</si>
  <si>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</si>
  <si>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</si>
  <si>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</si>
  <si>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</si>
  <si>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</si>
  <si>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</si>
  <si>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</si>
  <si>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</si>
  <si>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</si>
  <si>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</si>
  <si>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</si>
  <si>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</si>
  <si>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</si>
  <si>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</si>
  <si>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</si>
  <si>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</si>
  <si>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</si>
  <si>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</si>
  <si>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</si>
  <si>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</si>
  <si>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</si>
  <si>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</si>
  <si>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</si>
  <si>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</si>
  <si>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</si>
  <si>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</si>
  <si>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</si>
  <si>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</si>
  <si>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</si>
  <si>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</si>
  <si>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</si>
  <si>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</si>
  <si>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</si>
  <si>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</si>
  <si>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</si>
  <si>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</si>
  <si>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</si>
  <si>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</si>
  <si>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</si>
  <si>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</si>
  <si>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</si>
  <si>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</si>
  <si>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</si>
  <si>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</si>
  <si>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</si>
  <si>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</si>
  <si>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</si>
  <si>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</si>
  <si>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</si>
  <si>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</si>
  <si>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</si>
  <si>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</si>
  <si>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</si>
  <si>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</si>
  <si>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</si>
  <si>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</si>
  <si>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</si>
  <si>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</si>
  <si>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</si>
  <si>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</si>
  <si>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</si>
  <si>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</si>
  <si>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</si>
  <si>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</si>
  <si>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</si>
  <si>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</si>
  <si>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</si>
  <si>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</si>
  <si>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</si>
  <si>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</si>
  <si>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</si>
  <si>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</si>
  <si>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</si>
  <si>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</si>
  <si>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</si>
  <si>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</si>
  <si>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</si>
  <si>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</si>
  <si>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</si>
  <si>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</si>
  <si>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</si>
  <si>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</si>
  <si>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</si>
  <si>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</si>
  <si>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</si>
  <si>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</si>
  <si>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</si>
  <si>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</si>
  <si>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</si>
  <si>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</si>
  <si>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</si>
  <si>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</si>
  <si>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</si>
  <si>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</si>
  <si>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</si>
  <si>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</si>
  <si>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</si>
  <si>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</si>
  <si>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</si>
  <si>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</si>
  <si>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</si>
  <si>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</si>
  <si>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</si>
  <si>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</si>
  <si>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</si>
  <si>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</si>
  <si>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</si>
  <si>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</si>
  <si>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</si>
  <si>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</si>
  <si>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</si>
  <si>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</si>
  <si>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</si>
  <si>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</si>
  <si>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</si>
  <si>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</si>
  <si>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</si>
  <si>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</si>
  <si>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</si>
  <si>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</si>
  <si>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</si>
  <si>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</si>
  <si>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</si>
  <si>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</si>
  <si>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</si>
  <si>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</si>
  <si>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</si>
  <si>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</si>
  <si>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</si>
  <si>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</si>
  <si>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</si>
  <si>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</si>
  <si>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</si>
  <si>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</si>
  <si>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</si>
  <si>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</si>
  <si>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</si>
  <si>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</si>
  <si>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</si>
  <si>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</si>
  <si>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</si>
  <si>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</si>
  <si>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</si>
  <si>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</si>
  <si>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</si>
  <si>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</si>
  <si>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</si>
  <si>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</si>
  <si>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</si>
  <si>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</si>
  <si>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</si>
  <si>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</si>
  <si>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</si>
  <si>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</si>
  <si>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</si>
  <si>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</si>
  <si>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</si>
  <si>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</si>
  <si>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</si>
  <si>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</si>
  <si>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</si>
  <si>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</si>
  <si>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</si>
  <si>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</si>
  <si>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</si>
  <si>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</si>
  <si>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</si>
  <si>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</si>
  <si>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</si>
  <si>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</si>
  <si>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</si>
  <si>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</si>
  <si>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</si>
  <si>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</si>
  <si>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</si>
  <si>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</si>
  <si>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</si>
  <si>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</si>
  <si>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</si>
  <si>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</si>
  <si>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</si>
  <si>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</si>
  <si>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</si>
  <si>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</si>
  <si>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</si>
  <si>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</si>
  <si>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</si>
  <si>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</si>
  <si>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</si>
  <si>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</si>
  <si>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</si>
  <si>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</si>
  <si>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</si>
  <si>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</si>
  <si>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</si>
  <si>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</si>
  <si>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</si>
  <si>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</si>
  <si>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</si>
  <si>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</si>
  <si>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</si>
  <si>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</si>
  <si>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</si>
  <si>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</si>
  <si>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</si>
  <si>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</si>
  <si>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</si>
  <si>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</si>
  <si>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</si>
  <si>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</si>
  <si>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</si>
  <si>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</si>
  <si>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</si>
  <si>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</si>
  <si>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</si>
  <si>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</si>
  <si>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</si>
  <si>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</si>
  <si>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</si>
  <si>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</si>
  <si>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</si>
  <si>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</si>
  <si>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</si>
  <si>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</si>
  <si>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</si>
  <si>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</si>
  <si>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</si>
  <si>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</si>
  <si>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</si>
  <si>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</si>
  <si>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</si>
  <si>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</si>
  <si>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</si>
  <si>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</si>
  <si>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</si>
  <si>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</si>
  <si>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</si>
  <si>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</si>
  <si>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</si>
  <si>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</si>
  <si>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</si>
  <si>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</si>
  <si>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</si>
  <si>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</si>
  <si>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</si>
  <si>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</si>
  <si>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</si>
  <si>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</si>
  <si>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</si>
  <si>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</si>
  <si>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</si>
  <si>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</si>
  <si>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</si>
  <si>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</si>
  <si>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</si>
  <si>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</si>
  <si>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</si>
  <si>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</si>
  <si>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</si>
  <si>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</si>
  <si>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</si>
  <si>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</si>
  <si>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</si>
  <si>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</si>
  <si>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</si>
  <si>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</si>
  <si>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</si>
  <si>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</si>
  <si>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</si>
  <si>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</si>
  <si>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</si>
  <si>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</si>
  <si>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</si>
  <si>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</si>
  <si>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</si>
  <si>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</si>
  <si>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</si>
  <si>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</si>
  <si>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</si>
  <si>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</si>
  <si>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</si>
  <si>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</si>
  <si>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</si>
  <si>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</si>
  <si>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</si>
  <si>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</si>
  <si>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</si>
  <si>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</si>
  <si>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</si>
  <si>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</si>
  <si>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</si>
  <si>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</si>
  <si>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</si>
  <si>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</si>
  <si>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</si>
  <si>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</si>
  <si>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</si>
  <si>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</si>
  <si>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</si>
  <si>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</si>
  <si>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</si>
  <si>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</si>
  <si>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</si>
  <si>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</si>
  <si>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</si>
  <si>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</si>
  <si>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</si>
  <si>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</si>
  <si>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</si>
  <si>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</si>
  <si>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</si>
  <si>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</si>
  <si>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</si>
  <si>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</si>
  <si>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</si>
  <si>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</si>
  <si>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</si>
  <si>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</si>
  <si>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</si>
  <si>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</si>
  <si>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</si>
  <si>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</si>
  <si>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</si>
  <si>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</si>
  <si>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</si>
  <si>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</si>
  <si>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</si>
  <si>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</si>
  <si>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</si>
  <si>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</si>
  <si>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</si>
  <si>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</si>
  <si>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</si>
  <si>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</si>
  <si>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</si>
  <si>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</si>
  <si>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</si>
  <si>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</si>
  <si>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</si>
  <si>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</si>
  <si>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</si>
  <si>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</si>
  <si>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</si>
  <si>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</si>
  <si>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</si>
  <si>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</si>
  <si>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</si>
  <si>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</si>
  <si>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</si>
  <si>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</si>
  <si>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</si>
  <si>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</si>
  <si>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</si>
  <si>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</si>
  <si>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</si>
  <si>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</si>
  <si>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</si>
  <si>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</si>
  <si>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</si>
  <si>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</si>
  <si>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</si>
  <si>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</si>
  <si>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</si>
  <si>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</si>
  <si>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</si>
  <si>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</si>
  <si>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</si>
  <si>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</si>
  <si>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</si>
  <si>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</si>
  <si>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</si>
  <si>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</si>
  <si>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</si>
  <si>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</si>
  <si>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</si>
  <si>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</si>
  <si>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</si>
  <si>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</si>
  <si>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</si>
  <si>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</si>
  <si>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</si>
  <si>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</si>
  <si>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</si>
  <si>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</si>
  <si>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</si>
  <si>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</si>
  <si>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</si>
  <si>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</si>
  <si>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</si>
  <si>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</si>
  <si>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</si>
  <si>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</si>
  <si>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</si>
  <si>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</si>
  <si>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</si>
  <si>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</si>
  <si>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</si>
  <si>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</si>
  <si>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</si>
  <si>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</si>
  <si>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</si>
  <si>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</si>
  <si>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</si>
  <si>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</si>
  <si>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</si>
  <si>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</si>
  <si>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</si>
  <si>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</si>
  <si>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</si>
  <si>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</si>
  <si>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</si>
  <si>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</si>
  <si>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</si>
  <si>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</si>
  <si>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</si>
  <si>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</si>
  <si>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</si>
  <si>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</si>
  <si>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</si>
  <si>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</si>
  <si>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</si>
  <si>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</si>
  <si>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</si>
  <si>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</si>
  <si>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</si>
  <si>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</si>
  <si>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</si>
  <si>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</si>
  <si>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</si>
  <si>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</si>
  <si>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</si>
  <si>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</si>
  <si>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</si>
  <si>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</si>
  <si>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</si>
  <si>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</si>
  <si>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</si>
  <si>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</si>
  <si>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</si>
  <si>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</si>
  <si>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</si>
  <si>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</si>
  <si>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</si>
  <si>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</si>
  <si>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</si>
  <si>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</si>
  <si>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</si>
  <si>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</si>
  <si>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</si>
  <si>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</si>
  <si>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</si>
  <si>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</si>
  <si>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</si>
  <si>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</si>
  <si>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</si>
  <si>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</si>
  <si>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</si>
  <si>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</si>
  <si>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</si>
  <si>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</si>
  <si>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</si>
  <si>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</si>
  <si>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</si>
  <si>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</si>
  <si>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</si>
  <si>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</si>
  <si>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</si>
  <si>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</si>
  <si>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</si>
  <si>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</si>
  <si>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</si>
  <si>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</si>
  <si>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</si>
  <si>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</si>
  <si>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</si>
  <si>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</si>
  <si>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</si>
  <si>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</si>
  <si>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</si>
  <si>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</si>
  <si>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</si>
  <si>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</si>
  <si>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</si>
  <si>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</si>
  <si>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</si>
  <si>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</si>
  <si>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</si>
  <si>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</si>
  <si>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</si>
  <si>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</si>
  <si>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</si>
  <si>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</si>
  <si>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</si>
  <si>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</si>
  <si>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</si>
  <si>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</si>
  <si>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</si>
  <si>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</si>
  <si>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</si>
  <si>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</si>
  <si>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</si>
  <si>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</si>
  <si>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</si>
  <si>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</si>
  <si>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</si>
  <si>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</si>
  <si>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</si>
  <si>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</si>
  <si>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</si>
  <si>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</si>
  <si>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</si>
  <si>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</si>
  <si>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</si>
  <si>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</si>
  <si>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</si>
  <si>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</si>
  <si>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</si>
  <si>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</si>
  <si>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</si>
  <si>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</si>
  <si>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</si>
  <si>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</si>
  <si>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</si>
  <si>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</si>
  <si>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</si>
  <si>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</si>
  <si>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</si>
  <si>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</si>
  <si>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</si>
  <si>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</si>
  <si>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</si>
  <si>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</si>
  <si>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</si>
  <si>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</si>
  <si>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</si>
  <si>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</si>
  <si>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</si>
  <si>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</si>
  <si>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</si>
  <si>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</si>
  <si>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</si>
  <si>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</si>
  <si>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</si>
  <si>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</si>
  <si>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</si>
  <si>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</si>
  <si>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</si>
  <si>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</si>
  <si>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</si>
  <si>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</si>
  <si>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</si>
  <si>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</si>
  <si>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</si>
  <si>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</si>
  <si>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</si>
  <si>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</si>
  <si>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</si>
  <si>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</si>
  <si>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</si>
  <si>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</si>
  <si>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</si>
  <si>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</si>
  <si>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</si>
  <si>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</si>
  <si>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</si>
  <si>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</si>
  <si>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</si>
  <si>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</si>
  <si>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</si>
  <si>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</si>
  <si>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</si>
  <si>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</si>
  <si>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</si>
  <si>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</si>
  <si>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</si>
  <si>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</si>
  <si>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</si>
  <si>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</si>
  <si>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</si>
  <si>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</si>
  <si>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</si>
  <si>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</si>
  <si>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</si>
  <si>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</si>
  <si>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</si>
  <si>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</si>
  <si>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</si>
  <si>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</si>
  <si>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</si>
  <si>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</si>
  <si>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</si>
  <si>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</si>
  <si>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</si>
  <si>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</si>
  <si>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</si>
  <si>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</si>
  <si>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</si>
  <si>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</si>
  <si>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</si>
  <si>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</si>
  <si>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</si>
  <si>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</si>
  <si>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</si>
  <si>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</si>
  <si>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</si>
  <si>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</si>
  <si>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</si>
  <si>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</si>
  <si>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</si>
  <si>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</si>
  <si>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</si>
  <si>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</si>
  <si>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</si>
  <si>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</si>
  <si>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</si>
  <si>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</si>
  <si>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</si>
  <si>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</si>
  <si>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</si>
  <si>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</si>
  <si>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</si>
  <si>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</si>
  <si>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</si>
  <si>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</si>
  <si>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</si>
  <si>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</si>
  <si>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</si>
  <si>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</si>
  <si>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</si>
  <si>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</si>
  <si>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</si>
  <si>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</si>
  <si>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</si>
  <si>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</si>
  <si>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</si>
  <si>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</si>
  <si>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</si>
  <si>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</si>
  <si>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</si>
  <si>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</si>
  <si>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</si>
  <si>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</si>
  <si>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</si>
  <si>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</si>
  <si>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</si>
  <si>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</si>
  <si>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</si>
  <si>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</si>
  <si>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</si>
  <si>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</si>
  <si>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</si>
  <si>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</si>
  <si>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</si>
  <si>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</si>
  <si>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</si>
  <si>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</si>
  <si>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</si>
  <si>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</si>
  <si>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</si>
  <si>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</si>
  <si>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</si>
  <si>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</si>
  <si>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</si>
  <si>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</si>
  <si>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</si>
  <si>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</si>
  <si>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</si>
  <si>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</si>
  <si>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</si>
  <si>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</si>
  <si>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</si>
  <si>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</si>
  <si>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</si>
  <si>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</si>
  <si>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</si>
  <si>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</si>
  <si>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</si>
  <si>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</si>
  <si>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</si>
  <si>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</si>
  <si>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</si>
  <si>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</si>
  <si>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</si>
  <si>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</si>
  <si>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</si>
  <si>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</si>
  <si>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</si>
  <si>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</si>
  <si>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</si>
  <si>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</si>
  <si>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</si>
  <si>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</si>
  <si>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</si>
  <si>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</si>
  <si>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</si>
  <si>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</si>
  <si>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</si>
  <si>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</si>
  <si>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</si>
  <si>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</si>
  <si>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</si>
  <si>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</si>
  <si>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</si>
  <si>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</si>
  <si>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</si>
  <si>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</si>
  <si>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</si>
  <si>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</si>
  <si>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</si>
  <si>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</si>
  <si>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</si>
  <si>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</si>
  <si>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</si>
  <si>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</si>
  <si>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</si>
  <si>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</si>
  <si>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</si>
  <si>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</si>
  <si>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</si>
  <si>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</si>
  <si>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</si>
  <si>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</si>
  <si>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</si>
  <si>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</si>
  <si>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</si>
  <si>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</si>
  <si>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</si>
  <si>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</si>
  <si>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</si>
  <si>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</si>
  <si>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</si>
  <si>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</si>
  <si>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</si>
  <si>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</si>
  <si>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</si>
  <si>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</si>
  <si>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</si>
  <si>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</si>
  <si>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</si>
  <si>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</si>
  <si>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</si>
  <si>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</si>
  <si>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</si>
  <si>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</si>
  <si>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</si>
  <si>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</si>
  <si>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</si>
  <si>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</si>
  <si>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</si>
  <si>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</si>
  <si>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</si>
  <si>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</si>
  <si>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</si>
  <si>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</si>
  <si>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</si>
  <si>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</si>
  <si>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</si>
  <si>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</si>
  <si>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</si>
  <si>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</si>
  <si>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</si>
  <si>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</si>
  <si>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</si>
  <si>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</si>
  <si>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</si>
  <si>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</si>
  <si>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</si>
  <si>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</si>
  <si>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</si>
  <si>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</si>
  <si>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</si>
  <si>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</si>
  <si>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</si>
  <si>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</si>
  <si>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</si>
  <si>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</si>
  <si>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</si>
  <si>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</si>
  <si>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</si>
  <si>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</si>
  <si>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</si>
  <si>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</si>
  <si>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</si>
  <si>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</si>
  <si>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</si>
  <si>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</si>
  <si>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</si>
  <si>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</si>
  <si>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</si>
  <si>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</si>
  <si>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</si>
  <si>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</si>
  <si>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</si>
  <si>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</si>
  <si>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</si>
  <si>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</si>
  <si>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</si>
  <si>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</si>
  <si>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</si>
  <si>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</si>
  <si>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</si>
  <si>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</si>
  <si>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</si>
  <si>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</si>
  <si>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</si>
  <si>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</si>
  <si>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</si>
  <si>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</si>
  <si>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</si>
  <si>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</si>
  <si>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</si>
  <si>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</si>
  <si>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</si>
  <si>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</si>
  <si>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</si>
  <si>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</si>
  <si>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</si>
  <si>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</si>
  <si>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</si>
  <si>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</si>
  <si>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</si>
  <si>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</si>
  <si>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</si>
  <si>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</si>
  <si>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</si>
  <si>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</si>
  <si>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</si>
  <si>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</si>
  <si>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</si>
  <si>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</si>
  <si>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</si>
  <si>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</si>
  <si>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</si>
  <si>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</si>
  <si>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</si>
  <si>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</si>
  <si>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</si>
  <si>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</si>
  <si>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</si>
  <si>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</si>
  <si>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</si>
  <si>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</si>
  <si>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</si>
  <si>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</si>
  <si>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</si>
  <si>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</si>
  <si>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</si>
  <si>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</si>
  <si>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</si>
  <si>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</si>
  <si>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</si>
  <si>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</si>
  <si>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</si>
  <si>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</si>
  <si>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</si>
  <si>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</si>
  <si>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</si>
  <si>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</si>
  <si>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</si>
  <si>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</si>
  <si>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</si>
  <si>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</si>
  <si>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</si>
  <si>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</si>
  <si>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</si>
  <si>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</si>
  <si>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</si>
  <si>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</si>
  <si>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</si>
  <si>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</si>
  <si>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</si>
  <si>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</si>
  <si>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</si>
  <si>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</si>
  <si>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</si>
  <si>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</si>
  <si>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</si>
  <si>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</si>
  <si>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</si>
  <si>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</si>
  <si>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</si>
  <si>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</si>
  <si>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</si>
  <si>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</si>
  <si>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</si>
  <si>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</si>
  <si>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</si>
  <si>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</si>
  <si>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</si>
  <si>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</si>
  <si>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</si>
  <si>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</si>
  <si>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</si>
  <si>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</si>
  <si>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</si>
  <si>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</si>
  <si>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</si>
  <si>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</si>
  <si>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</si>
  <si>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</si>
  <si>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</si>
  <si>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</si>
  <si>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</si>
  <si>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</si>
  <si>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</si>
  <si>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</si>
  <si>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</si>
  <si>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</si>
  <si>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</si>
  <si>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</si>
  <si>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</si>
  <si>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</si>
  <si>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</si>
  <si>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</si>
  <si>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</si>
  <si>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</si>
  <si>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</si>
  <si>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</si>
  <si>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</si>
  <si>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</si>
  <si>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</si>
  <si>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</si>
  <si>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</si>
  <si>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</si>
  <si>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</si>
  <si>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</si>
  <si>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</si>
  <si>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</si>
  <si>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</si>
  <si>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</si>
  <si>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</si>
  <si>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</si>
  <si>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</si>
  <si>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</si>
  <si>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</si>
  <si>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</si>
  <si>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</si>
  <si>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</si>
  <si>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</si>
  <si>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</si>
  <si>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</si>
  <si>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</si>
  <si>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</si>
  <si>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</si>
  <si>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</si>
  <si>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</si>
  <si>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</si>
  <si>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</si>
  <si>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</si>
  <si>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</si>
  <si>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</si>
  <si>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</si>
  <si>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</si>
  <si>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</si>
  <si>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</si>
  <si>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</si>
  <si>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</si>
  <si>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</si>
  <si>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</si>
  <si>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</si>
  <si>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</si>
  <si>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</si>
  <si>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</si>
  <si>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</si>
  <si>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</si>
  <si>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</si>
  <si>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</si>
  <si>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</si>
  <si>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</si>
  <si>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</si>
  <si>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</si>
  <si>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</si>
  <si>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</si>
  <si>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</si>
  <si>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</si>
  <si>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</si>
  <si>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</si>
  <si>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</si>
  <si>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</si>
  <si>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</si>
  <si>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</si>
  <si>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</si>
  <si>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</si>
  <si>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</si>
  <si>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</si>
  <si>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</si>
  <si>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</si>
  <si>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</si>
  <si>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</si>
  <si>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</si>
  <si>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</si>
  <si>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</si>
  <si>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</si>
  <si>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</si>
  <si>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</si>
  <si>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</si>
  <si>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</si>
  <si>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</si>
  <si>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</si>
  <si>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</si>
  <si>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</si>
  <si>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</si>
  <si>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</si>
  <si>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</si>
  <si>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</si>
  <si>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</si>
  <si>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</si>
  <si>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</si>
  <si>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</si>
  <si>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</si>
  <si>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</si>
  <si>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</si>
  <si>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</si>
  <si>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</si>
  <si>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</si>
  <si>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</si>
  <si>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</si>
  <si>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</si>
  <si>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</si>
  <si>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</si>
  <si>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</si>
  <si>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</si>
  <si>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</si>
  <si>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</si>
  <si>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</si>
  <si>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</si>
  <si>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</si>
  <si>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</si>
  <si>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</si>
  <si>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</si>
  <si>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</si>
  <si>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</si>
  <si>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</si>
  <si>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</si>
  <si>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</si>
  <si>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</si>
  <si>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</si>
  <si>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</si>
  <si>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</si>
  <si>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</si>
  <si>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</si>
  <si>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</si>
  <si>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</si>
  <si>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</si>
  <si>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</si>
  <si>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</si>
  <si>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</si>
  <si>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</si>
  <si>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</si>
  <si>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</si>
  <si>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</si>
  <si>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</si>
  <si>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</si>
  <si>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</si>
  <si>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</si>
  <si>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</si>
  <si>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</si>
  <si>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</si>
  <si>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</si>
  <si>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</si>
  <si>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</si>
  <si>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</si>
  <si>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</si>
  <si>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</si>
  <si>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</si>
  <si>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</si>
  <si>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</si>
  <si>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</si>
  <si>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</si>
  <si>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</si>
  <si>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</si>
  <si>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</si>
  <si>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</si>
  <si>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</si>
  <si>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</si>
  <si>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</si>
  <si>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</si>
  <si>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</si>
  <si>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</si>
  <si>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</si>
  <si>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</si>
  <si>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</si>
  <si>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</si>
  <si>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</si>
  <si>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</si>
  <si>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</si>
  <si>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</si>
  <si>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</si>
  <si>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</si>
  <si>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</si>
  <si>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</si>
  <si>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</si>
  <si>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</si>
  <si>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</si>
  <si>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</si>
  <si>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</si>
  <si>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</si>
  <si>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</si>
  <si>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</si>
  <si>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</si>
  <si>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</si>
  <si>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</si>
  <si>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</si>
  <si>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</si>
  <si>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</si>
  <si>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</si>
  <si>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</si>
  <si>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</si>
  <si>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</si>
  <si>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</si>
  <si>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</si>
  <si>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</si>
  <si>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</si>
  <si>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</si>
  <si>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</si>
  <si>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</si>
  <si>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</si>
  <si>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</si>
  <si>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</si>
  <si>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</si>
  <si>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</si>
  <si>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</si>
  <si>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</si>
  <si>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</si>
  <si>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</si>
  <si>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</si>
  <si>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</si>
  <si>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</si>
  <si>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</si>
  <si>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</si>
  <si>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</si>
  <si>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</si>
  <si>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</si>
  <si>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</si>
  <si>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</si>
  <si>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</si>
  <si>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</si>
  <si>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</si>
  <si>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</si>
  <si>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</si>
  <si>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</si>
  <si>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</si>
  <si>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</si>
  <si>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</si>
  <si>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</si>
  <si>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</si>
  <si>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</si>
  <si>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</si>
  <si>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</si>
  <si>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</si>
  <si>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</si>
  <si>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</si>
  <si>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</si>
  <si>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</si>
  <si>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</si>
  <si>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</si>
  <si>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</si>
  <si>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</si>
  <si>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</si>
  <si>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</si>
  <si>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</si>
  <si>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</si>
  <si>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</si>
  <si>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</si>
  <si>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</si>
  <si>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</si>
  <si>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</si>
  <si>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</si>
  <si>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</si>
  <si>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</si>
  <si>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</si>
  <si>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</si>
  <si>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</si>
  <si>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</si>
  <si>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</si>
  <si>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</si>
  <si>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</si>
  <si>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</si>
  <si>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</si>
  <si>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</si>
  <si>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</si>
  <si>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</si>
  <si>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</si>
  <si>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</si>
  <si>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</si>
  <si>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</si>
  <si>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</si>
  <si>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</si>
  <si>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</si>
  <si>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</si>
  <si>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</si>
  <si>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</si>
  <si>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</si>
  <si>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</si>
  <si>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</si>
  <si>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</si>
  <si>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</si>
  <si>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</si>
  <si>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</si>
  <si>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</si>
  <si>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</si>
  <si>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</si>
  <si>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</si>
  <si>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</si>
  <si>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</si>
  <si>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</si>
  <si>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</si>
  <si>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</si>
  <si>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</si>
  <si>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</si>
  <si>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</si>
  <si>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</si>
  <si>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</si>
  <si>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</si>
  <si>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</si>
  <si>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</si>
  <si>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</si>
  <si>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</si>
  <si>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</si>
  <si>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</si>
  <si>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</si>
  <si>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</si>
  <si>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</si>
  <si>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</si>
  <si>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</si>
  <si>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</si>
  <si>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</si>
  <si>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</si>
  <si>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</si>
  <si>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</si>
  <si>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</si>
  <si>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</si>
  <si>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</si>
  <si>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</si>
  <si>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</si>
  <si>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</si>
  <si>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</si>
  <si>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</si>
  <si>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</si>
  <si>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</si>
  <si>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</si>
  <si>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</si>
  <si>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</si>
  <si>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</si>
  <si>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</si>
  <si>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</si>
  <si>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</si>
  <si>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</si>
  <si>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</si>
  <si>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</si>
  <si>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</si>
  <si>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</si>
  <si>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</si>
  <si>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</si>
  <si>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</si>
  <si>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</si>
  <si>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</si>
  <si>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</si>
  <si>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</si>
  <si>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</si>
  <si>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</si>
  <si>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</si>
  <si>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</si>
  <si>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</si>
  <si>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</si>
  <si>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</si>
  <si>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</si>
  <si>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</si>
  <si>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</si>
  <si>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</si>
  <si>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</si>
  <si>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</si>
  <si>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</si>
  <si>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</si>
  <si>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</si>
  <si>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</si>
  <si>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</si>
  <si>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</si>
  <si>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</si>
  <si>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</si>
  <si>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</si>
  <si>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</si>
  <si>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</si>
  <si>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</si>
  <si>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</si>
  <si>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</si>
  <si>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</si>
  <si>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</si>
  <si>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</si>
  <si>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</si>
  <si>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</si>
  <si>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</si>
  <si>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</si>
  <si>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</si>
  <si>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</si>
  <si>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</si>
  <si>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</si>
  <si>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</si>
  <si>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</si>
  <si>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</si>
  <si>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</si>
  <si>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</si>
  <si>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</si>
  <si>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</si>
  <si>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</si>
  <si>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</si>
  <si>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</si>
  <si>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</si>
  <si>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</si>
  <si>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</si>
  <si>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</si>
  <si>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</si>
  <si>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</si>
  <si>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</si>
  <si>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</si>
  <si>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</si>
  <si>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</si>
  <si>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</si>
  <si>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</si>
  <si>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</si>
  <si>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</si>
  <si>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</si>
  <si>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</si>
  <si>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</si>
  <si>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</si>
  <si>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</si>
  <si>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</si>
  <si>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</si>
  <si>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</si>
  <si>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</si>
  <si>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</si>
  <si>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</si>
  <si>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</si>
  <si>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</si>
  <si>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</si>
  <si>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</si>
  <si>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</si>
  <si>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</si>
  <si>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</si>
  <si>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</si>
  <si>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</si>
  <si>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</si>
  <si>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</si>
  <si>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</si>
  <si>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</si>
  <si>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</si>
  <si>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</si>
  <si>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</si>
  <si>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</si>
  <si>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</si>
  <si>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</si>
  <si>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</si>
  <si>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</si>
  <si>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</si>
  <si>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</si>
  <si>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</si>
  <si>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</si>
  <si>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</si>
  <si>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</si>
  <si>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</si>
  <si>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</si>
  <si>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</si>
  <si>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</si>
  <si>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</si>
  <si>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</si>
  <si>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</si>
  <si>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</si>
  <si>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</si>
  <si>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</si>
  <si>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</si>
  <si>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</si>
  <si>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</si>
  <si>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</si>
  <si>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</si>
  <si>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</si>
  <si>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</si>
  <si>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</si>
  <si>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</si>
  <si>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</si>
  <si>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</si>
  <si>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</si>
  <si>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</si>
  <si>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</si>
  <si>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</si>
  <si>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</si>
  <si>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</si>
  <si>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</si>
  <si>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</si>
  <si>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</si>
  <si>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</si>
  <si>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</si>
  <si>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</si>
  <si>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</si>
  <si>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</si>
  <si>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</si>
  <si>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</si>
  <si>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</si>
  <si>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</si>
  <si>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</si>
  <si>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</si>
  <si>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</si>
  <si>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</si>
  <si>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</si>
  <si>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</si>
  <si>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</si>
  <si>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</si>
  <si>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</si>
  <si>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</si>
  <si>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</si>
  <si>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</si>
  <si>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</si>
  <si>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</si>
  <si>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</si>
  <si>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</si>
  <si>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</si>
  <si>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</si>
  <si>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</si>
  <si>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</si>
  <si>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</si>
  <si>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</si>
  <si>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</si>
  <si>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</si>
  <si>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</si>
  <si>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</si>
  <si>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</si>
  <si>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</si>
  <si>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</si>
  <si>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</si>
  <si>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</si>
  <si>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</si>
  <si>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</si>
  <si>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</si>
  <si>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</si>
  <si>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</si>
  <si>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</si>
  <si>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</si>
  <si>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</si>
  <si>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</si>
  <si>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</si>
  <si>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</si>
  <si>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</si>
  <si>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</si>
  <si>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</si>
  <si>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</si>
  <si>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</si>
  <si>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</si>
  <si>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</si>
  <si>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</si>
  <si>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</si>
  <si>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</si>
  <si>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</si>
  <si>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</si>
  <si>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</si>
  <si>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</si>
  <si>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</si>
  <si>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</si>
  <si>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</si>
  <si>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</si>
  <si>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</si>
  <si>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</si>
  <si>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</si>
  <si>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</si>
  <si>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</si>
  <si>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</si>
  <si>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</si>
  <si>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</si>
  <si>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</si>
  <si>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</si>
  <si>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</si>
  <si>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</si>
  <si>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</si>
  <si>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</si>
  <si>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</si>
  <si>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</si>
  <si>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</si>
  <si>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</si>
  <si>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</si>
  <si>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</si>
  <si>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</si>
  <si>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</si>
  <si>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</si>
  <si>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</si>
  <si>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</si>
  <si>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</si>
  <si>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</si>
  <si>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</si>
  <si>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</si>
  <si>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</si>
  <si>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</si>
  <si>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</si>
  <si>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</si>
  <si>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</si>
  <si>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</si>
  <si>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</si>
  <si>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</si>
  <si>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</si>
  <si>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</si>
  <si>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</si>
  <si>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</si>
  <si>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</si>
  <si>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</si>
  <si>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</si>
  <si>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</si>
  <si>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</si>
  <si>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</si>
  <si>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</si>
  <si>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</si>
  <si>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</si>
  <si>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</si>
  <si>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</si>
  <si>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</si>
  <si>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</si>
  <si>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</si>
  <si>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</si>
  <si>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</si>
  <si>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</si>
  <si>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</si>
  <si>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</si>
  <si>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</si>
  <si>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</si>
  <si>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</si>
  <si>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</si>
  <si>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</si>
  <si>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</si>
  <si>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</si>
  <si>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</si>
  <si>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</si>
  <si>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</si>
  <si>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</si>
  <si>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</si>
  <si>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</si>
  <si>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</si>
  <si>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</si>
  <si>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</si>
  <si>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</si>
  <si>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</si>
  <si>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</si>
  <si>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</si>
  <si>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</si>
  <si>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</si>
  <si>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</si>
  <si>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</si>
  <si>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</si>
  <si>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</si>
  <si>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</si>
  <si>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</si>
  <si>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</si>
  <si>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</si>
  <si>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</si>
  <si>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</si>
  <si>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</si>
  <si>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</si>
  <si>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</si>
  <si>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</si>
  <si>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</si>
  <si>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</si>
  <si>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</si>
  <si>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</si>
  <si>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</si>
  <si>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</si>
  <si>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</si>
  <si>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</si>
  <si>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</si>
  <si>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</si>
  <si>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</si>
  <si>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</si>
  <si>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</si>
  <si>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</si>
  <si>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</si>
  <si>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</si>
  <si>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</si>
  <si>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</si>
  <si>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</si>
  <si>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</si>
  <si>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</si>
  <si>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</si>
  <si>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</si>
  <si>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</si>
  <si>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</si>
  <si>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</si>
  <si>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</si>
  <si>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</si>
  <si>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</si>
  <si>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</si>
  <si>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</si>
  <si>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</si>
  <si>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</si>
  <si>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</si>
  <si>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</si>
  <si>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</si>
  <si>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</si>
  <si>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</si>
  <si>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</si>
  <si>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</si>
  <si>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</si>
  <si>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</si>
  <si>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</si>
  <si>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</si>
  <si>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</si>
  <si>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</si>
  <si>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</si>
  <si>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</si>
  <si>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</si>
  <si>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</si>
  <si>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</si>
  <si>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</si>
  <si>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</si>
  <si>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</si>
  <si>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</si>
  <si>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</si>
  <si>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</si>
  <si>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</si>
  <si>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</si>
  <si>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</si>
  <si>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</si>
  <si>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</si>
  <si>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</si>
  <si>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</si>
  <si>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</si>
  <si>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</si>
  <si>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</si>
  <si>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</si>
  <si>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</si>
  <si>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</si>
  <si>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</si>
  <si>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</si>
  <si>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</si>
  <si>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</si>
  <si>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</si>
  <si>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</si>
  <si>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</si>
  <si>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</si>
  <si>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</si>
  <si>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</si>
  <si>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</si>
  <si>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</si>
  <si>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</si>
  <si>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</si>
  <si>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</si>
  <si>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</si>
  <si>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</si>
  <si>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</si>
  <si>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</si>
  <si>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</si>
  <si>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</si>
  <si>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</si>
  <si>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</si>
  <si>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</si>
  <si>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</si>
  <si>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</si>
  <si>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</si>
  <si>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</si>
  <si>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</si>
  <si>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</si>
  <si>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</si>
  <si>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</si>
  <si>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</si>
  <si>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</si>
  <si>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</si>
  <si>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</si>
  <si>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</si>
  <si>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</si>
  <si>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</si>
  <si>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</si>
  <si>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</si>
  <si>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</si>
  <si>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</si>
  <si>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</si>
  <si>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</si>
  <si>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</si>
  <si>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</si>
  <si>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</si>
  <si>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</si>
  <si>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</si>
  <si>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</si>
  <si>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</si>
  <si>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</si>
  <si>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</si>
  <si>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</si>
  <si>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</si>
  <si>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</si>
  <si>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</si>
  <si>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</si>
  <si>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</si>
  <si>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</si>
  <si>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</si>
  <si>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</si>
  <si>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</si>
  <si>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</si>
  <si>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</si>
  <si>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</si>
  <si>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</si>
  <si>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</si>
  <si>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</si>
  <si>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</si>
  <si>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</si>
  <si>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</si>
  <si>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</si>
  <si>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</si>
  <si>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</si>
  <si>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</si>
  <si>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</si>
  <si>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</si>
  <si>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</si>
  <si>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</si>
  <si>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</si>
  <si>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</si>
  <si>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</si>
  <si>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</si>
  <si>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</si>
  <si>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</si>
  <si>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</si>
  <si>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</si>
  <si>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</si>
  <si>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</si>
  <si>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</si>
  <si>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</si>
  <si>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</si>
  <si>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</si>
  <si>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</si>
  <si>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</si>
  <si>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</si>
  <si>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</si>
  <si>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</si>
  <si>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</si>
  <si>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</si>
  <si>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</si>
  <si>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</si>
  <si>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</si>
  <si>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</si>
  <si>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</si>
  <si>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</si>
  <si>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</si>
  <si>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</si>
  <si>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</si>
  <si>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</si>
  <si>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</si>
  <si>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</si>
  <si>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</si>
  <si>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</si>
  <si>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</si>
  <si>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</si>
  <si>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</si>
  <si>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</si>
  <si>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</si>
  <si>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</si>
  <si>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</si>
  <si>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</si>
  <si>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</si>
  <si>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</si>
  <si>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</si>
  <si>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</si>
  <si>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</si>
  <si>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</si>
  <si>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</si>
  <si>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</si>
  <si>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</si>
  <si>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</si>
  <si>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</si>
  <si>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</si>
  <si>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</si>
  <si>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</si>
  <si>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</si>
  <si>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</si>
  <si>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</si>
  <si>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</si>
  <si>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</si>
  <si>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</si>
  <si>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</si>
  <si>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</si>
  <si>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</si>
  <si>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</si>
  <si>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</si>
  <si>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</si>
  <si>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</si>
  <si>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</si>
  <si>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</si>
  <si>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</si>
  <si>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</si>
  <si>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</si>
  <si>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</si>
  <si>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</si>
  <si>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</si>
  <si>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</si>
  <si>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</si>
  <si>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</si>
  <si>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</si>
  <si>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</si>
  <si>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</si>
  <si>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</si>
  <si>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</si>
  <si>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</si>
  <si>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</si>
  <si>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</si>
  <si>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</si>
  <si>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</si>
  <si>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</si>
  <si>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</si>
  <si>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</si>
  <si>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</si>
  <si>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</si>
  <si>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</si>
  <si>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</si>
  <si>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</si>
  <si>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</si>
  <si>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</si>
  <si>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</si>
  <si>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</si>
  <si>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</si>
  <si>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</si>
  <si>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</si>
  <si>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</si>
  <si>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</si>
  <si>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</si>
  <si>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</si>
  <si>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</si>
  <si>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</si>
  <si>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</si>
  <si>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</si>
  <si>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</si>
  <si>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</si>
  <si>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</si>
  <si>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</si>
  <si>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</si>
  <si>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</si>
  <si>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</si>
  <si>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</si>
  <si>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</si>
  <si>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</si>
  <si>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</si>
  <si>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</si>
  <si>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</si>
  <si>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</si>
  <si>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</si>
  <si>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</si>
  <si>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</si>
  <si>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</si>
  <si>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</si>
  <si>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</si>
  <si>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</si>
  <si>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</si>
  <si>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</si>
  <si>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</si>
  <si>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</si>
  <si>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</si>
  <si>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</si>
  <si>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</si>
  <si>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</si>
  <si>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</si>
  <si>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</si>
  <si>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</si>
  <si>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</si>
  <si>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</si>
  <si>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</si>
  <si>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</si>
  <si>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</si>
  <si>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</si>
  <si>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</si>
  <si>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</si>
  <si>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</si>
  <si>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</si>
  <si>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</si>
  <si>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</si>
  <si>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</si>
  <si>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</si>
  <si>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</si>
  <si>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</si>
  <si>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</si>
  <si>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</si>
  <si>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</si>
  <si>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</si>
  <si>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</si>
  <si>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</si>
  <si>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</si>
  <si>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</si>
  <si>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</si>
  <si>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</si>
  <si>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</si>
  <si>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</si>
  <si>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</si>
  <si>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</si>
  <si>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</si>
  <si>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</si>
  <si>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</si>
  <si>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</si>
  <si>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</si>
  <si>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</si>
  <si>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</si>
  <si>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</si>
  <si>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</si>
  <si>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</si>
  <si>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</si>
  <si>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</si>
  <si>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</si>
  <si>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</si>
  <si>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</si>
  <si>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</si>
  <si>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</si>
  <si>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</si>
  <si>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</si>
  <si>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</si>
  <si>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</si>
  <si>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</si>
  <si>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</si>
  <si>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</si>
  <si>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</si>
  <si>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</si>
  <si>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</si>
  <si>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</si>
  <si>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</si>
  <si>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</si>
  <si>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</si>
  <si>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</si>
  <si>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</si>
  <si>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</si>
  <si>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</si>
  <si>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</si>
  <si>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</si>
  <si>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</si>
  <si>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</si>
  <si>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</si>
  <si>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</si>
  <si>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</si>
  <si>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</si>
  <si>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</si>
  <si>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</si>
  <si>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</si>
  <si>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</si>
  <si>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</si>
  <si>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</si>
  <si>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</si>
  <si>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</si>
  <si>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</si>
  <si>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</si>
  <si>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</si>
  <si>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</si>
  <si>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</si>
  <si>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</si>
  <si>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</si>
  <si>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</si>
  <si>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</si>
  <si>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</si>
  <si>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</si>
  <si>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</si>
  <si>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</si>
  <si>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</si>
  <si>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</si>
  <si>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</si>
  <si>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</si>
  <si>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</si>
  <si>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</si>
  <si>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</si>
  <si>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</si>
  <si>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</si>
  <si>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</si>
  <si>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</si>
  <si>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</si>
  <si>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</si>
  <si>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</si>
  <si>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</si>
  <si>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</si>
  <si>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</si>
  <si>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</si>
  <si>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</si>
  <si>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</si>
  <si>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</si>
  <si>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</si>
  <si>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</si>
  <si>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</si>
  <si>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</si>
  <si>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</si>
  <si>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</si>
  <si>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</si>
  <si>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</si>
  <si>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</si>
  <si>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</si>
  <si>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</si>
  <si>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</si>
  <si>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</si>
  <si>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</si>
  <si>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</si>
  <si>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</si>
  <si>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</si>
  <si>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</si>
  <si>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</si>
  <si>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</si>
  <si>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</si>
  <si>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</si>
  <si>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</si>
  <si>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</si>
  <si>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</si>
  <si>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</si>
  <si>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</si>
  <si>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</si>
  <si>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</si>
  <si>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</si>
  <si>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</si>
  <si>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</si>
  <si>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</si>
  <si>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</si>
  <si>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</si>
  <si>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</si>
  <si>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</si>
  <si>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</si>
  <si>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</si>
  <si>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</si>
  <si>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</si>
  <si>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</si>
  <si>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</si>
  <si>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</si>
  <si>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</si>
  <si>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</si>
  <si>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</si>
  <si>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</si>
  <si>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</si>
  <si>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</si>
  <si>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</si>
  <si>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</si>
  <si>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</si>
  <si>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</si>
  <si>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</si>
  <si>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</si>
  <si>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</si>
  <si>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</si>
  <si>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</si>
  <si>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</si>
  <si>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</si>
  <si>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</si>
  <si>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</si>
  <si>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</si>
  <si>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</si>
  <si>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</si>
  <si>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</si>
  <si>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</si>
  <si>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</si>
  <si>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</si>
  <si>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</si>
  <si>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</si>
  <si>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</si>
  <si>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</si>
  <si>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</si>
  <si>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</si>
  <si>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</si>
  <si>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</si>
  <si>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</si>
  <si>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</si>
  <si>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</si>
  <si>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</si>
  <si>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</si>
  <si>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</si>
  <si>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</si>
  <si>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</si>
  <si>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</si>
  <si>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</si>
  <si>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</si>
  <si>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</si>
  <si>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</si>
  <si>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</si>
  <si>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</si>
  <si>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</si>
  <si>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</si>
  <si>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</si>
  <si>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</si>
  <si>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</si>
  <si>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</si>
  <si>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</si>
  <si>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</si>
  <si>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</si>
  <si>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</si>
  <si>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</si>
  <si>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</si>
  <si>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</si>
  <si>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</si>
  <si>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</si>
  <si>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</si>
  <si>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</si>
  <si>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</si>
  <si>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</si>
  <si>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</si>
  <si>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</si>
  <si>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</si>
  <si>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</si>
  <si>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</si>
  <si>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</si>
  <si>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</si>
  <si>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</si>
  <si>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</si>
  <si>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</si>
  <si>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</si>
  <si>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</si>
  <si>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</si>
  <si>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</si>
  <si>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</si>
  <si>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</si>
  <si>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</si>
  <si>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</si>
  <si>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</si>
  <si>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</si>
  <si>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</si>
  <si>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</si>
  <si>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</si>
  <si>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</si>
  <si>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</si>
  <si>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</si>
  <si>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</si>
  <si>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</si>
  <si>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</si>
  <si>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</si>
  <si>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</si>
  <si>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</si>
  <si>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</si>
  <si>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</si>
  <si>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</si>
  <si>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</si>
  <si>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</si>
  <si>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</si>
  <si>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</si>
  <si>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</si>
  <si>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</si>
  <si>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</si>
  <si>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</si>
  <si>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</si>
  <si>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</si>
  <si>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</si>
  <si>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</si>
  <si>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</si>
  <si>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</si>
  <si>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</si>
  <si>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</si>
  <si>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</si>
  <si>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</si>
  <si>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</si>
  <si>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</si>
  <si>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</si>
  <si>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</si>
  <si>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</si>
  <si>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</si>
  <si>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</si>
  <si>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</si>
  <si>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</si>
  <si>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</si>
  <si>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</si>
  <si>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</si>
  <si>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</si>
  <si>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</si>
  <si>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</si>
  <si>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</si>
  <si>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</si>
  <si>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</si>
  <si>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</si>
  <si>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</si>
  <si>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</si>
  <si>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</si>
  <si>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</si>
  <si>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</si>
  <si>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</si>
  <si>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</si>
  <si>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</si>
  <si>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</si>
  <si>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</si>
  <si>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</si>
  <si>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</si>
  <si>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</si>
  <si>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</si>
  <si>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</si>
  <si>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</si>
  <si>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</si>
  <si>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</si>
  <si>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</si>
  <si>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</si>
  <si>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</si>
  <si>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</si>
  <si>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</si>
  <si>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</si>
  <si>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</si>
  <si>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</si>
  <si>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</si>
  <si>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</si>
  <si>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</si>
  <si>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</si>
  <si>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</si>
  <si>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</si>
  <si>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</si>
  <si>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</si>
  <si>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</si>
  <si>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</si>
  <si>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</si>
  <si>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</si>
  <si>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</si>
  <si>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</si>
  <si>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</si>
  <si>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</si>
  <si>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</si>
  <si>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</si>
  <si>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</si>
  <si>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</si>
  <si>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</si>
  <si>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</si>
  <si>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</si>
  <si>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</si>
  <si>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</si>
  <si>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</si>
  <si>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</si>
  <si>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</si>
  <si>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</si>
  <si>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</si>
  <si>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</si>
  <si>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</si>
  <si>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</si>
  <si>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</si>
  <si>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</si>
  <si>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</si>
  <si>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</si>
  <si>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</si>
  <si>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</si>
  <si>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</si>
  <si>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</si>
  <si>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</si>
  <si>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</si>
  <si>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</si>
  <si>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</si>
  <si>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</si>
  <si>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</si>
  <si>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</si>
  <si>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</si>
  <si>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</si>
  <si>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</si>
  <si>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</si>
  <si>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</si>
  <si>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</si>
  <si>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</si>
  <si>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</si>
  <si>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</si>
  <si>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</si>
  <si>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</si>
  <si>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</si>
  <si>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</si>
  <si>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</si>
  <si>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</si>
  <si>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</si>
  <si>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</si>
  <si>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</si>
  <si>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</si>
  <si>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</si>
  <si>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</si>
  <si>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</si>
  <si>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</si>
  <si>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</si>
  <si>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</si>
  <si>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</si>
  <si>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</si>
  <si>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</si>
  <si>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</si>
  <si>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</si>
  <si>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</si>
  <si>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</si>
  <si>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</si>
  <si>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</si>
  <si>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</si>
  <si>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</si>
  <si>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</si>
  <si>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</si>
  <si>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</si>
  <si>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</si>
  <si>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</si>
  <si>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</si>
  <si>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</si>
  <si>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</si>
  <si>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</si>
  <si>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</si>
  <si>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</si>
  <si>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</si>
  <si>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</si>
  <si>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</si>
  <si>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</si>
  <si>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</si>
  <si>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</si>
  <si>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</si>
  <si>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</si>
  <si>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</si>
  <si>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</si>
  <si>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</si>
  <si>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</si>
  <si>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</si>
  <si>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</si>
  <si>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</si>
  <si>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</si>
  <si>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</si>
  <si>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</si>
  <si>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</si>
  <si>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</si>
  <si>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</si>
  <si>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</si>
  <si>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</si>
  <si>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</si>
  <si>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</si>
  <si>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</si>
  <si>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</si>
  <si>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</si>
  <si>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</si>
  <si>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</si>
  <si>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</si>
  <si>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</si>
  <si>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</si>
  <si>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</si>
  <si>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</si>
  <si>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</si>
  <si>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</si>
  <si>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</si>
  <si>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</si>
  <si>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</si>
  <si>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</si>
  <si>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</si>
  <si>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</si>
  <si>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</si>
  <si>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</si>
  <si>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</si>
  <si>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</si>
  <si>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</si>
  <si>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</si>
  <si>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</si>
  <si>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</si>
  <si>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</si>
  <si>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</si>
  <si>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</si>
  <si>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</si>
  <si>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</si>
  <si>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</si>
  <si>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</si>
  <si>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</si>
  <si>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</si>
  <si>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</si>
  <si>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</si>
  <si>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</si>
  <si>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</si>
  <si>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</si>
  <si>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</si>
  <si>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</si>
  <si>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</si>
  <si>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</si>
  <si>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</si>
  <si>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</si>
  <si>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</si>
  <si>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</si>
  <si>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</si>
  <si>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</si>
  <si>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</si>
  <si>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</si>
  <si>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</si>
  <si>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</si>
  <si>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</si>
  <si>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</si>
  <si>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</si>
  <si>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</si>
  <si>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</si>
  <si>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</si>
  <si>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</si>
  <si>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</si>
  <si>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</si>
  <si>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</si>
  <si>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</si>
  <si>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</si>
  <si>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</si>
  <si>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</si>
  <si>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</si>
  <si>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</si>
  <si>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</si>
  <si>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</si>
  <si>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</si>
  <si>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</si>
  <si>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</si>
  <si>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</si>
  <si>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</si>
  <si>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</si>
  <si>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</si>
  <si>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</si>
  <si>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</si>
  <si>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</si>
  <si>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</si>
  <si>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</si>
  <si>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</si>
  <si>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</si>
  <si>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</si>
  <si>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</si>
  <si>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</si>
  <si>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</si>
  <si>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</si>
  <si>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</si>
  <si>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</si>
  <si>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</si>
  <si>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</si>
  <si>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</si>
  <si>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</si>
  <si>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</si>
  <si>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</si>
  <si>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</si>
  <si>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</si>
  <si>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</si>
  <si>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</si>
  <si>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</si>
  <si>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</si>
  <si>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</si>
  <si>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</si>
  <si>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</si>
  <si>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</si>
  <si>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</si>
  <si>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</si>
  <si>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</si>
  <si>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</si>
  <si>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</si>
  <si>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</si>
  <si>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</si>
  <si>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</si>
  <si>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</si>
  <si>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</si>
  <si>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</si>
  <si>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</si>
  <si>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</si>
  <si>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</si>
  <si>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</si>
  <si>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</si>
  <si>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</si>
  <si>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</si>
  <si>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</si>
  <si>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</si>
  <si>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</si>
  <si>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</si>
  <si>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</si>
  <si>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</si>
  <si>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</si>
  <si>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</si>
  <si>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</si>
  <si>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</si>
  <si>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</si>
  <si>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</si>
  <si>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</si>
  <si>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</si>
  <si>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</si>
  <si>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</si>
  <si>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</si>
  <si>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</si>
  <si>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</si>
  <si>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</si>
  <si>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</si>
  <si>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</si>
  <si>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</si>
  <si>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</si>
  <si>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</si>
  <si>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</si>
  <si>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</si>
  <si>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</si>
  <si>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</si>
  <si>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</si>
  <si>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</si>
  <si>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</si>
  <si>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</si>
  <si>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</si>
  <si>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</si>
  <si>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</si>
  <si>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</si>
  <si>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</si>
  <si>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</si>
  <si>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</si>
  <si>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</si>
  <si>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</si>
  <si>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</si>
  <si>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</si>
  <si>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</si>
  <si>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</si>
  <si>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</si>
  <si>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</si>
  <si>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</si>
  <si>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</si>
  <si>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</si>
  <si>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</si>
  <si>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</si>
  <si>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</si>
  <si>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</si>
  <si>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</si>
  <si>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</si>
  <si>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</si>
  <si>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</si>
  <si>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</si>
  <si>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</si>
  <si>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</si>
  <si>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</si>
  <si>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</si>
  <si>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</si>
  <si>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</si>
  <si>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</si>
  <si>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</si>
  <si>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</si>
  <si>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</si>
  <si>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</si>
  <si>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</si>
  <si>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</si>
  <si>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</si>
  <si>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</si>
  <si>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</si>
  <si>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</si>
  <si>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</si>
  <si>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</si>
  <si>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</si>
  <si>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</si>
  <si>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</si>
  <si>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</si>
  <si>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</si>
  <si>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</si>
  <si>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</si>
  <si>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</si>
  <si>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</si>
  <si>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</si>
  <si>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</si>
  <si>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</si>
  <si>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</si>
  <si>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</si>
  <si>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</si>
  <si>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</si>
  <si>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</si>
  <si>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</si>
  <si>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</si>
  <si>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</si>
  <si>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</si>
  <si>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</si>
  <si>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</si>
  <si>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</si>
  <si>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</si>
  <si>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</si>
  <si>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</si>
  <si>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</si>
  <si>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</si>
  <si>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</si>
  <si>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</si>
  <si>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</si>
  <si>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</si>
  <si>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</si>
  <si>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</si>
  <si>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</si>
  <si>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</si>
  <si>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</si>
  <si>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</si>
  <si>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</si>
  <si>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</si>
  <si>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</si>
  <si>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</si>
  <si>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</si>
  <si>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</si>
  <si>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</si>
  <si>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</si>
  <si>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</si>
  <si>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</si>
  <si>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</si>
  <si>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</si>
  <si>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</si>
  <si>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</si>
  <si>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</si>
  <si>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</si>
  <si>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</si>
  <si>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</si>
  <si>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</si>
  <si>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</si>
  <si>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</si>
  <si>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</si>
  <si>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</si>
  <si>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</si>
  <si>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</si>
  <si>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</si>
  <si>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</si>
  <si>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</si>
  <si>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</si>
  <si>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</si>
  <si>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</si>
  <si>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</si>
  <si>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</si>
  <si>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</si>
  <si>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</si>
  <si>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</si>
  <si>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</si>
  <si>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</si>
  <si>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</si>
  <si>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</si>
  <si>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</si>
  <si>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</si>
  <si>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</si>
  <si>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</si>
  <si>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</si>
  <si>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</si>
  <si>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</si>
  <si>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</si>
  <si>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</si>
  <si>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</si>
  <si>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</si>
  <si>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</si>
  <si>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</si>
  <si>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</si>
  <si>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</si>
  <si>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</si>
  <si>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</si>
  <si>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</si>
  <si>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</si>
  <si>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</si>
  <si>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</si>
  <si>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</si>
  <si>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</si>
  <si>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</si>
  <si>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</si>
  <si>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</si>
  <si>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</si>
  <si>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</si>
  <si>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</si>
  <si>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</si>
  <si>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</si>
  <si>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</si>
  <si>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</si>
  <si>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</si>
  <si>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</si>
  <si>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</si>
  <si>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</si>
  <si>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</si>
  <si>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</si>
  <si>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</si>
  <si>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</si>
  <si>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</si>
  <si>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</si>
  <si>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</si>
  <si>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</si>
  <si>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</si>
  <si>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</si>
  <si>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</si>
  <si>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</si>
  <si>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</si>
  <si>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</si>
  <si>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</si>
  <si>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</si>
  <si>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</si>
  <si>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</si>
  <si>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</si>
  <si>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</si>
  <si>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</si>
  <si>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</si>
  <si>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</si>
  <si>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</si>
  <si>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</si>
  <si>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</si>
  <si>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</si>
  <si>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</si>
  <si>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</si>
  <si>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</si>
  <si>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</si>
  <si>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</si>
  <si>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</si>
  <si>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</si>
  <si>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</si>
  <si>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</si>
  <si>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</si>
  <si>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</si>
  <si>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</si>
  <si>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</si>
  <si>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</si>
  <si>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</si>
  <si>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</si>
  <si>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</si>
  <si>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</si>
  <si>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</si>
  <si>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</si>
  <si>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</si>
  <si>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</si>
  <si>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</si>
  <si>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</si>
  <si>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</si>
  <si>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</si>
  <si>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</si>
  <si>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</si>
  <si>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</si>
  <si>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</si>
  <si>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</si>
  <si>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</si>
  <si>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</si>
  <si>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</si>
  <si>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</si>
  <si>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</si>
  <si>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</si>
  <si>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</si>
  <si>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</si>
  <si>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</si>
  <si>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</si>
  <si>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</si>
  <si>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</si>
  <si>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</si>
  <si>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</si>
  <si>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</si>
  <si>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</si>
  <si>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</si>
  <si>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</si>
  <si>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</si>
  <si>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</si>
  <si>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</si>
  <si>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</si>
  <si>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</si>
  <si>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</si>
  <si>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</si>
  <si>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</si>
  <si>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</si>
  <si>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</si>
  <si>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</si>
  <si>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</si>
  <si>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</si>
  <si>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</si>
  <si>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</si>
  <si>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</si>
  <si>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</si>
  <si>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</si>
  <si>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</si>
  <si>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</si>
  <si>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</si>
  <si>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</si>
  <si>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</si>
  <si>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</si>
  <si>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</si>
  <si>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</si>
  <si>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</si>
  <si>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</si>
  <si>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</si>
  <si>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</si>
  <si>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</si>
  <si>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</si>
  <si>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</si>
  <si>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</si>
  <si>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</si>
  <si>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</si>
  <si>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</si>
  <si>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</si>
  <si>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</si>
  <si>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</si>
  <si>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</si>
  <si>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</si>
  <si>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</si>
  <si>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</si>
  <si>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</si>
  <si>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</si>
  <si>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</si>
  <si>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</si>
  <si>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</si>
  <si>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</si>
  <si>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</si>
  <si>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</si>
  <si>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</si>
  <si>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</si>
  <si>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</si>
  <si>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</si>
  <si>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</si>
  <si>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</si>
  <si>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</si>
  <si>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</si>
  <si>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</si>
  <si>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</si>
  <si>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</si>
  <si>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</si>
  <si>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</si>
  <si>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</si>
  <si>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</si>
  <si>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</si>
  <si>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</si>
  <si>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</si>
  <si>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</si>
  <si>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</si>
  <si>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</si>
  <si>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</si>
  <si>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</si>
  <si>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</si>
  <si>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</si>
  <si>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</si>
  <si>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</si>
  <si>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</si>
  <si>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</si>
  <si>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</si>
  <si>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</si>
  <si>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</si>
  <si>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</si>
  <si>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</si>
  <si>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</si>
  <si>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</si>
  <si>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</si>
  <si>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</si>
  <si>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</si>
  <si>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</si>
  <si>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</si>
  <si>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</si>
  <si>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</si>
  <si>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</si>
  <si>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</si>
  <si>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</si>
  <si>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</si>
  <si>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</si>
  <si>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</si>
  <si>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</si>
  <si>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</si>
  <si>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</si>
  <si>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</si>
  <si>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</si>
  <si>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</si>
  <si>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</si>
  <si>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</si>
  <si>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</si>
  <si>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</si>
  <si>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</si>
  <si>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</si>
  <si>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</si>
  <si>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</si>
  <si>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</si>
  <si>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</si>
  <si>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</si>
  <si>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</si>
  <si>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</si>
  <si>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</si>
  <si>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</si>
  <si>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</si>
  <si>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</si>
  <si>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</si>
  <si>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</si>
  <si>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</si>
  <si>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</si>
  <si>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</si>
  <si>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</si>
  <si>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</si>
  <si>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</si>
  <si>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</si>
  <si>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</si>
  <si>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</si>
  <si>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</si>
  <si>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</si>
  <si>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</si>
  <si>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</si>
  <si>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</si>
  <si>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</si>
  <si>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</si>
  <si>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</si>
  <si>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</si>
  <si>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</si>
  <si>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</si>
  <si>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</si>
  <si>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</si>
  <si>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</si>
  <si>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</si>
  <si>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</si>
  <si>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</si>
  <si>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</si>
  <si>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</si>
  <si>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</si>
  <si>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</si>
  <si>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</si>
  <si>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</si>
  <si>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</si>
  <si>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</si>
  <si>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</si>
  <si>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</si>
  <si>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</si>
  <si>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</si>
  <si>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</si>
  <si>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</si>
  <si>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</si>
  <si>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</si>
  <si>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</si>
  <si>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</si>
  <si>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</si>
  <si>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</si>
  <si>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</si>
  <si>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</si>
  <si>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</si>
  <si>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</si>
  <si>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</si>
  <si>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</si>
  <si>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</si>
  <si>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</si>
  <si>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</si>
  <si>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</si>
  <si>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</si>
  <si>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</si>
  <si>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</si>
  <si>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</si>
  <si>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</si>
  <si>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</si>
  <si>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</si>
  <si>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</si>
  <si>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</si>
  <si>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</si>
  <si>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</si>
  <si>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</si>
  <si>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</si>
  <si>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</si>
  <si>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</si>
  <si>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</si>
  <si>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</si>
  <si>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</si>
  <si>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</si>
  <si>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</si>
  <si>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</si>
  <si>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</si>
  <si>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</si>
  <si>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</si>
  <si>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</si>
  <si>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</si>
  <si>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</si>
  <si>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</si>
  <si>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</si>
  <si>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</si>
  <si>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</si>
  <si>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</si>
  <si>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</si>
  <si>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</si>
  <si>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</si>
  <si>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</si>
  <si>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</si>
  <si>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</si>
  <si>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</si>
  <si>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</si>
  <si>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</si>
  <si>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</si>
  <si>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</si>
  <si>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</si>
  <si>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</si>
  <si>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</si>
  <si>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</si>
  <si>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</si>
  <si>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</si>
  <si>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</si>
  <si>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</si>
  <si>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</si>
  <si>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</si>
  <si>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</si>
  <si>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</si>
  <si>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</si>
  <si>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</si>
  <si>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</si>
  <si>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</si>
  <si>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</si>
  <si>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</si>
  <si>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</si>
  <si>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</si>
  <si>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</si>
  <si>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</si>
  <si>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</si>
  <si>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</si>
  <si>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</si>
  <si>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</si>
  <si>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</si>
  <si>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</si>
  <si>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</si>
  <si>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</si>
  <si>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</si>
  <si>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</si>
  <si>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</si>
  <si>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</si>
  <si>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</si>
  <si>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</si>
  <si>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</si>
  <si>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</si>
  <si>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</si>
  <si>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</si>
  <si>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</si>
  <si>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</si>
  <si>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</si>
  <si>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</si>
  <si>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</si>
  <si>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</si>
  <si>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</si>
  <si>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</si>
  <si>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</si>
  <si>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</si>
  <si>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</si>
  <si>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</si>
  <si>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</si>
  <si>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</si>
  <si>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</si>
  <si>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</si>
  <si>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</si>
  <si>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</si>
  <si>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</si>
  <si>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</si>
  <si>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</si>
  <si>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</si>
  <si>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</si>
  <si>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</si>
  <si>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</si>
  <si>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</si>
  <si>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</si>
  <si>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</si>
  <si>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</si>
  <si>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</si>
  <si>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</si>
  <si>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</si>
  <si>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</si>
  <si>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</si>
  <si>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</si>
  <si>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</si>
  <si>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</si>
  <si>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</si>
  <si>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</si>
  <si>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</si>
  <si>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</si>
  <si>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</si>
  <si>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</si>
  <si>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</si>
  <si>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</si>
  <si>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</si>
  <si>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</si>
  <si>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</si>
  <si>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</si>
  <si>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</si>
  <si>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</si>
  <si>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</si>
  <si>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</si>
  <si>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</si>
  <si>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</si>
  <si>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</si>
  <si>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</si>
  <si>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</si>
  <si>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</si>
  <si>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</si>
  <si>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</si>
  <si>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</si>
  <si>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</si>
  <si>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</si>
  <si>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</si>
  <si>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</si>
  <si>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</si>
  <si>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</si>
  <si>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</si>
  <si>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</si>
  <si>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</si>
  <si>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</si>
  <si>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</si>
  <si>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</si>
  <si>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</si>
  <si>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</si>
  <si>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</si>
  <si>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</si>
  <si>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</si>
  <si>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</si>
  <si>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</si>
  <si>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</si>
  <si>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</si>
  <si>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</si>
  <si>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</si>
  <si>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</si>
  <si>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</si>
  <si>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</si>
  <si>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</si>
  <si>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</si>
  <si>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</si>
  <si>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</si>
  <si>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</si>
  <si>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</si>
  <si>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</si>
  <si>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</si>
  <si>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</si>
  <si>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</si>
  <si>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</si>
  <si>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</si>
  <si>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</si>
  <si>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</si>
  <si>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</si>
  <si>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</si>
  <si>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</si>
  <si>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</si>
  <si>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</si>
  <si>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</si>
  <si>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</si>
  <si>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</si>
  <si>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</si>
  <si>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</si>
  <si>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</si>
  <si>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</si>
  <si>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</si>
  <si>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</si>
  <si>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</si>
  <si>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</si>
  <si>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</si>
  <si>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</si>
  <si>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</si>
  <si>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</si>
  <si>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</si>
  <si>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</si>
  <si>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</si>
  <si>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</si>
  <si>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</si>
  <si>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</si>
  <si>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</si>
  <si>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</si>
  <si>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</si>
  <si>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</si>
  <si>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</si>
  <si>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</si>
  <si>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</si>
  <si>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</si>
  <si>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</si>
  <si>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</si>
  <si>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</si>
  <si>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</si>
  <si>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</si>
  <si>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</si>
  <si>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</si>
  <si>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</si>
  <si>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</si>
  <si>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</si>
  <si>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</si>
  <si>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</si>
  <si>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</si>
  <si>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</si>
  <si>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</si>
  <si>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</si>
  <si>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</si>
  <si>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</si>
  <si>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</si>
  <si>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</si>
  <si>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</si>
  <si>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</si>
  <si>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</si>
  <si>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</si>
  <si>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</si>
  <si>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</si>
  <si>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</si>
  <si>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</si>
  <si>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</si>
  <si>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</si>
  <si>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</si>
  <si>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</si>
  <si>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</si>
  <si>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</si>
  <si>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</si>
  <si>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</si>
  <si>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</si>
  <si>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</si>
  <si>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</si>
  <si>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</si>
  <si>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</si>
  <si>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</si>
  <si>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</si>
  <si>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</si>
  <si>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</si>
  <si>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</si>
  <si>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</si>
  <si>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</si>
  <si>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</si>
  <si>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</si>
  <si>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</si>
  <si>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</si>
  <si>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</si>
  <si>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</si>
  <si>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</si>
  <si>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</si>
  <si>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</si>
  <si>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</si>
  <si>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</si>
  <si>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</si>
  <si>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</si>
  <si>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</si>
  <si>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</si>
  <si>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</si>
  <si>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</si>
  <si>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</si>
  <si>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</si>
  <si>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</si>
  <si>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</si>
  <si>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</si>
  <si>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</si>
  <si>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</si>
  <si>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</si>
  <si>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</si>
  <si>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</si>
  <si>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</si>
  <si>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</si>
  <si>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</si>
  <si>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</si>
  <si>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</si>
  <si>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</si>
  <si>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</si>
  <si>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</si>
  <si>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</si>
  <si>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</si>
  <si>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</si>
  <si>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</si>
  <si>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</si>
  <si>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</si>
  <si>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</si>
  <si>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</si>
  <si>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</si>
  <si>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</si>
  <si>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</si>
  <si>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</si>
  <si>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</si>
  <si>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</si>
  <si>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</si>
  <si>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</si>
  <si>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</si>
  <si>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</si>
  <si>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</si>
  <si>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</si>
  <si>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</si>
  <si>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</si>
  <si>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</si>
  <si>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</si>
  <si>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</si>
  <si>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</si>
  <si>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</si>
  <si>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</si>
  <si>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</si>
  <si>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</si>
  <si>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</si>
  <si>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</si>
  <si>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</si>
  <si>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</si>
  <si>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</si>
  <si>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</si>
  <si>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</si>
  <si>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</si>
  <si>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</si>
  <si>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</si>
  <si>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</si>
  <si>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</si>
  <si>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</si>
  <si>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</si>
  <si>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</si>
  <si>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</si>
  <si>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</si>
  <si>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</si>
  <si>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</si>
  <si>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</si>
  <si>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</si>
  <si>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</si>
  <si>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</si>
  <si>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</si>
  <si>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</si>
  <si>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</si>
  <si>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</si>
  <si>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</si>
  <si>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</si>
  <si>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</si>
  <si>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</si>
  <si>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</si>
  <si>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</si>
  <si>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</si>
  <si>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</si>
  <si>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</si>
  <si>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</si>
  <si>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</si>
  <si>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</si>
  <si>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</si>
  <si>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</si>
  <si>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</si>
  <si>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</si>
  <si>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</si>
  <si>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</si>
  <si>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</si>
  <si>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</si>
  <si>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</si>
  <si>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</si>
  <si>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</si>
  <si>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</si>
  <si>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</si>
  <si>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</si>
  <si>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</si>
  <si>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</si>
  <si>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</si>
  <si>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</si>
  <si>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</si>
  <si>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</si>
  <si>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</si>
  <si>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</si>
  <si>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</si>
  <si>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</si>
  <si>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</si>
  <si>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</si>
  <si>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</si>
  <si>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</si>
  <si>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</si>
  <si>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</si>
  <si>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</si>
  <si>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</si>
  <si>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</si>
  <si>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</si>
  <si>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</si>
  <si>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</si>
  <si>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</si>
  <si>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</si>
  <si>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</si>
  <si>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</si>
  <si>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</si>
  <si>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</si>
  <si>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</si>
  <si>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</si>
  <si>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</si>
  <si>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</si>
  <si>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</si>
  <si>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</si>
  <si>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</si>
  <si>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</si>
  <si>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</si>
  <si>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</si>
  <si>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</si>
  <si>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</si>
  <si>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</si>
  <si>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</si>
  <si>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</si>
  <si>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</si>
  <si>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</si>
  <si>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</si>
  <si>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</si>
  <si>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</si>
  <si>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</si>
  <si>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</si>
  <si>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</si>
  <si>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</si>
  <si>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</si>
  <si>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</si>
  <si>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</si>
  <si>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</si>
  <si>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</si>
  <si>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</si>
  <si>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</si>
  <si>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</si>
  <si>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</si>
  <si>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</si>
  <si>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</si>
  <si>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</si>
  <si>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</si>
  <si>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</si>
  <si>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</si>
  <si>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</si>
  <si>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</si>
  <si>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</si>
  <si>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</si>
  <si>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</si>
  <si>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</si>
  <si>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</si>
  <si>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</si>
  <si>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</si>
  <si>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</si>
  <si>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</si>
  <si>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</si>
  <si>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</si>
  <si>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</si>
  <si>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</si>
  <si>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</si>
  <si>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</si>
  <si>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</si>
  <si>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</si>
  <si>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</si>
  <si>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</si>
  <si>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</si>
  <si>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</si>
  <si>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</si>
  <si>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</si>
  <si>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</si>
  <si>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</si>
  <si>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</si>
  <si>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</si>
  <si>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</si>
  <si>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</si>
  <si>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</si>
  <si>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</si>
  <si>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</si>
  <si>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</si>
  <si>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</si>
  <si>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</si>
  <si>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</si>
  <si>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</si>
  <si>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</si>
  <si>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</si>
  <si>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</si>
  <si>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</si>
  <si>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</si>
  <si>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</si>
  <si>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</si>
  <si>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</si>
  <si>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</si>
  <si>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</si>
  <si>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</si>
  <si>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</si>
  <si>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</si>
  <si>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</si>
  <si>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</si>
  <si>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</si>
  <si>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</si>
  <si>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</si>
  <si>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</si>
  <si>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</si>
  <si>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</si>
  <si>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</si>
  <si>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</si>
  <si>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</si>
  <si>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</si>
  <si>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</si>
  <si>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</si>
  <si>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</si>
  <si>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</si>
  <si>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</si>
  <si>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</si>
  <si>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</si>
  <si>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</si>
  <si>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</si>
  <si>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</si>
  <si>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</si>
  <si>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</si>
  <si>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</si>
  <si>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</si>
  <si>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</si>
  <si>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</si>
  <si>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</si>
  <si>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</si>
  <si>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</si>
  <si>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</si>
  <si>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</si>
  <si>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</si>
  <si>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</si>
  <si>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</si>
  <si>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</si>
  <si>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</si>
  <si>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</si>
  <si>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</si>
  <si>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</si>
  <si>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</si>
  <si>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</si>
  <si>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</si>
  <si>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</si>
  <si>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</si>
  <si>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</si>
  <si>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</si>
  <si>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</si>
  <si>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</si>
  <si>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</si>
  <si>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</si>
  <si>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</si>
  <si>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</si>
  <si>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</si>
  <si>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</si>
  <si>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</si>
  <si>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</si>
  <si>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</si>
  <si>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</si>
  <si>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</si>
  <si>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</si>
  <si>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</si>
  <si>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</si>
  <si>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</si>
  <si>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</si>
  <si>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</si>
  <si>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</si>
  <si>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</si>
  <si>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</si>
  <si>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</si>
  <si>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</si>
  <si>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</si>
  <si>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</si>
  <si>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</si>
  <si>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</si>
  <si>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</si>
  <si>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</si>
  <si>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</si>
  <si>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</si>
  <si>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</si>
  <si>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</si>
  <si>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</si>
  <si>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</si>
  <si>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</si>
  <si>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</si>
  <si>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</si>
  <si>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</si>
  <si>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</si>
  <si>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</si>
  <si>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</si>
  <si>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</si>
  <si>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</si>
  <si>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</si>
  <si>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</si>
  <si>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</si>
  <si>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</si>
  <si>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</si>
  <si>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</si>
  <si>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</si>
  <si>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</si>
  <si>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</si>
  <si>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</si>
  <si>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</si>
  <si>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</si>
  <si>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</si>
  <si>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</si>
  <si>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</si>
  <si>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</si>
  <si>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</si>
  <si>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</si>
  <si>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</si>
  <si>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</si>
  <si>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</si>
  <si>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</si>
  <si>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</si>
  <si>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</si>
  <si>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</si>
  <si>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</si>
  <si>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</si>
  <si>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</si>
  <si>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</si>
  <si>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</si>
  <si>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</si>
  <si>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</si>
  <si>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</si>
  <si>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</si>
  <si>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</si>
  <si>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</si>
  <si>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</si>
  <si>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</si>
  <si>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</si>
  <si>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</si>
  <si>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</si>
  <si>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</si>
  <si>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</si>
  <si>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</si>
  <si>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</si>
  <si>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</si>
  <si>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</si>
  <si>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</si>
  <si>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</si>
  <si>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</si>
  <si>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</si>
  <si>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</si>
  <si>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</si>
  <si>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</si>
  <si>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</si>
  <si>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</si>
  <si>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</si>
  <si>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</si>
  <si>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</si>
  <si>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</si>
  <si>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</si>
  <si>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</si>
  <si>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</si>
  <si>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</si>
  <si>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</si>
  <si>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</si>
  <si>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</si>
  <si>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</si>
  <si>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</si>
  <si>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</si>
  <si>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</si>
  <si>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</si>
  <si>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</si>
  <si>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</si>
  <si>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</si>
  <si>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</si>
  <si>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</si>
  <si>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</si>
  <si>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</si>
  <si>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</si>
  <si>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</si>
  <si>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</si>
  <si>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</si>
  <si>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</si>
  <si>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</si>
  <si>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</si>
  <si>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</si>
  <si>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</si>
  <si>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</si>
  <si>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</si>
  <si>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</si>
  <si>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</si>
  <si>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</si>
  <si>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</si>
  <si>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</si>
  <si>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</si>
  <si>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</si>
  <si>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</si>
  <si>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</si>
  <si>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</si>
  <si>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</si>
  <si>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</si>
  <si>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</si>
  <si>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</si>
  <si>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</si>
  <si>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</si>
  <si>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</si>
  <si>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</si>
  <si>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</si>
  <si>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</si>
  <si>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</si>
  <si>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</si>
  <si>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</si>
  <si>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</si>
  <si>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</si>
  <si>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</si>
  <si>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</si>
  <si>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</si>
  <si>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</si>
  <si>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</si>
  <si>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</si>
  <si>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</si>
  <si>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</si>
  <si>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</si>
  <si>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</si>
  <si>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</si>
  <si>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</si>
  <si>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</si>
  <si>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</si>
  <si>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</si>
  <si>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</si>
  <si>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</si>
  <si>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</si>
  <si>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</si>
  <si>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</si>
  <si>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</si>
  <si>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</si>
  <si>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</si>
  <si>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</si>
  <si>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</si>
  <si>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</si>
  <si>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</si>
  <si>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</si>
  <si>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</si>
  <si>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</si>
  <si>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</si>
  <si>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</si>
  <si>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</si>
  <si>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</si>
  <si>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</si>
  <si>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</si>
  <si>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</si>
  <si>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</si>
  <si>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</si>
  <si>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</si>
  <si>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</si>
  <si>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</si>
  <si>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</si>
  <si>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</si>
  <si>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</si>
  <si>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</si>
  <si>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</si>
  <si>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</si>
  <si>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</si>
  <si>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</si>
  <si>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</si>
  <si>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</si>
  <si>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</si>
  <si>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</si>
  <si>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</si>
  <si>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</si>
  <si>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</si>
  <si>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</si>
  <si>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</si>
  <si>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</si>
  <si>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</si>
  <si>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</si>
  <si>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</si>
  <si>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</si>
  <si>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</si>
  <si>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</si>
  <si>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</si>
  <si>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</si>
  <si>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</si>
  <si>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</si>
  <si>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</si>
  <si>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</si>
  <si>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</si>
  <si>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</si>
  <si>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</si>
  <si>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</si>
  <si>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</si>
  <si>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</si>
  <si>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</si>
  <si>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</si>
  <si>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</si>
  <si>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</si>
  <si>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</si>
  <si>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</si>
  <si>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</si>
  <si>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</si>
  <si>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</si>
  <si>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</si>
  <si>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</si>
  <si>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</si>
  <si>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</si>
  <si>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</si>
  <si>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</si>
  <si>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</si>
  <si>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</si>
  <si>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</si>
  <si>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</si>
  <si>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</si>
  <si>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</si>
  <si>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</si>
  <si>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</si>
  <si>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</si>
  <si>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</si>
  <si>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</si>
  <si>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</si>
  <si>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</si>
  <si>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</si>
  <si>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</si>
  <si>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</si>
  <si>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</si>
  <si>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</si>
  <si>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</si>
  <si>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</si>
  <si>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</si>
  <si>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</si>
  <si>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</si>
  <si>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</si>
  <si>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</si>
  <si>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</si>
  <si>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</si>
  <si>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</si>
  <si>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</si>
  <si>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</si>
  <si>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</si>
  <si>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</si>
  <si>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</si>
  <si>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</si>
  <si>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</si>
  <si>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</si>
  <si>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</si>
  <si>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</si>
  <si>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</si>
  <si>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</si>
  <si>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</si>
  <si>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</si>
  <si>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</si>
  <si>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</si>
  <si>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</si>
  <si>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</si>
  <si>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</si>
  <si>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</si>
  <si>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</si>
  <si>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</si>
  <si>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</si>
  <si>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</si>
  <si>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</si>
  <si>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</si>
  <si>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</si>
  <si>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</si>
  <si>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</si>
  <si>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</si>
  <si>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</si>
  <si>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</si>
  <si>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</si>
  <si>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</si>
  <si>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</si>
  <si>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</si>
  <si>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</si>
  <si>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</si>
  <si>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</si>
  <si>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</si>
  <si>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</si>
  <si>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</si>
  <si>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</si>
  <si>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</si>
  <si>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</si>
  <si>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</si>
  <si>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</si>
  <si>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</si>
  <si>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</si>
  <si>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</si>
  <si>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</si>
  <si>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</si>
  <si>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</si>
  <si>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</si>
  <si>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</si>
  <si>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</si>
  <si>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</si>
  <si>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</si>
  <si>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</si>
  <si>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</si>
  <si>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</si>
  <si>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</si>
  <si>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</si>
  <si>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</si>
  <si>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</si>
  <si>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</si>
  <si>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</si>
  <si>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</si>
  <si>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</si>
  <si>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</si>
  <si>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</si>
  <si>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</si>
  <si>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</si>
  <si>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</si>
  <si>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</si>
  <si>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</si>
  <si>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</si>
  <si>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</si>
  <si>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</si>
  <si>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</si>
  <si>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</si>
  <si>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</si>
  <si>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</si>
  <si>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</si>
  <si>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</si>
  <si>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</si>
  <si>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</si>
  <si>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</si>
  <si>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</si>
  <si>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</si>
  <si>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</si>
  <si>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</si>
  <si>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</si>
  <si>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</si>
  <si>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</si>
  <si>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</si>
  <si>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</si>
  <si>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</si>
  <si>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</si>
  <si>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</si>
  <si>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</si>
  <si>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</si>
  <si>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</si>
  <si>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</si>
  <si>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</si>
  <si>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</si>
  <si>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</si>
  <si>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</si>
  <si>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</si>
  <si>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</si>
  <si>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</si>
  <si>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</si>
  <si>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</si>
  <si>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</si>
  <si>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</si>
  <si>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</si>
  <si>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</si>
  <si>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</si>
  <si>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</si>
  <si>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</si>
  <si>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</si>
  <si>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</si>
  <si>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</si>
  <si>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</si>
  <si>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</si>
  <si>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</si>
  <si>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</si>
  <si>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</si>
  <si>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</si>
  <si>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</si>
  <si>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</si>
  <si>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</si>
  <si>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</si>
  <si>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</si>
  <si>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</si>
  <si>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</si>
  <si>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</si>
  <si>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</si>
  <si>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</si>
  <si>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</si>
  <si>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</si>
  <si>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</si>
  <si>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</si>
  <si>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</si>
  <si>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</si>
  <si>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</si>
  <si>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</si>
  <si>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</si>
  <si>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</si>
  <si>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</si>
  <si>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</si>
  <si>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</si>
  <si>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</si>
  <si>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</si>
  <si>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</si>
  <si>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</si>
  <si>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</si>
  <si>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</si>
  <si>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</si>
  <si>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</si>
  <si>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</si>
  <si>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</si>
  <si>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</si>
  <si>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</si>
  <si>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</si>
  <si>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</si>
  <si>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</si>
  <si>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</si>
  <si>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</si>
  <si>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</si>
  <si>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</si>
  <si>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</si>
  <si>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</si>
  <si>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</si>
  <si>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</si>
  <si>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</si>
  <si>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</si>
  <si>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</si>
  <si>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</si>
  <si>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</si>
  <si>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</si>
  <si>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</si>
  <si>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</si>
  <si>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</si>
  <si>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</si>
  <si>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</si>
  <si>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</si>
  <si>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</si>
  <si>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</si>
  <si>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</si>
  <si>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</si>
  <si>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</si>
  <si>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</si>
  <si>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</si>
  <si>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</si>
  <si>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</si>
  <si>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</si>
  <si>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</si>
  <si>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</si>
  <si>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</si>
  <si>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</si>
  <si>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</si>
  <si>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</si>
  <si>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</si>
  <si>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</si>
  <si>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</si>
  <si>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</si>
  <si>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</si>
  <si>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</si>
  <si>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</si>
  <si>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</si>
  <si>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</si>
  <si>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</si>
  <si>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</si>
  <si>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</si>
  <si>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</si>
  <si>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</si>
  <si>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</si>
  <si>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</si>
  <si>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</si>
  <si>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</si>
  <si>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</si>
  <si>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</si>
  <si>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</si>
  <si>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</si>
  <si>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</si>
  <si>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</si>
  <si>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</si>
  <si>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</si>
  <si>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</si>
  <si>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</si>
  <si>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</si>
  <si>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</si>
  <si>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</si>
  <si>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</si>
  <si>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</si>
  <si>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</si>
  <si>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</si>
  <si>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</si>
  <si>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</si>
  <si>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</si>
  <si>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</si>
  <si>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</si>
  <si>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</si>
  <si>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</si>
  <si>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</si>
  <si>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</si>
  <si>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</si>
  <si>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</si>
  <si>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</si>
  <si>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</si>
  <si>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</si>
  <si>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</si>
  <si>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</si>
  <si>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</si>
  <si>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</si>
  <si>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</si>
  <si>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</si>
  <si>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</si>
  <si>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</si>
  <si>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</si>
  <si>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</si>
  <si>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</si>
  <si>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</si>
  <si>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</si>
  <si>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</si>
  <si>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</si>
  <si>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</si>
  <si>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</si>
  <si>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</si>
  <si>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</si>
  <si>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</si>
  <si>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</si>
  <si>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</si>
  <si>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</si>
  <si>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</si>
  <si>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</si>
  <si>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</si>
  <si>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</si>
  <si>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</si>
  <si>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</si>
  <si>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</si>
  <si>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</si>
  <si>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</si>
  <si>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</si>
  <si>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</si>
  <si>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</si>
  <si>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</si>
  <si>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</si>
  <si>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</si>
  <si>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</si>
  <si>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</si>
  <si>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</si>
  <si>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</si>
  <si>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</si>
  <si>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</si>
  <si>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</si>
  <si>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</si>
  <si>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</si>
  <si>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</si>
  <si>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</si>
  <si>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</si>
  <si>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</si>
  <si>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</si>
  <si>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</si>
  <si>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</si>
  <si>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</si>
  <si>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</si>
  <si>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</si>
  <si>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</si>
  <si>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</si>
  <si>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</si>
  <si>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</si>
  <si>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</si>
  <si>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</si>
  <si>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</si>
  <si>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</si>
  <si>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</si>
  <si>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</si>
  <si>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</si>
  <si>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</si>
  <si>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</si>
  <si>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</si>
  <si>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</si>
  <si>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</si>
  <si>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</si>
  <si>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</si>
  <si>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</si>
  <si>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</si>
  <si>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</si>
  <si>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</si>
  <si>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</si>
  <si>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</si>
  <si>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</si>
  <si>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</si>
  <si>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</si>
  <si>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</si>
  <si>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</si>
  <si>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</si>
  <si>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</si>
  <si>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</si>
  <si>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</si>
  <si>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</si>
  <si>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</si>
  <si>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</si>
  <si>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</si>
  <si>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</si>
  <si>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</si>
  <si>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</si>
  <si>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</si>
  <si>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</si>
  <si>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</si>
  <si>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</si>
  <si>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</si>
  <si>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</si>
  <si>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</si>
  <si>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</si>
  <si>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</si>
  <si>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</si>
  <si>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</si>
  <si>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</si>
  <si>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</si>
  <si>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</si>
  <si>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</si>
  <si>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</si>
  <si>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</si>
  <si>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</si>
  <si>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</si>
  <si>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</si>
  <si>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</si>
  <si>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</si>
  <si>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</si>
  <si>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</si>
  <si>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</si>
  <si>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</si>
  <si>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</si>
  <si>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</si>
  <si>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</si>
  <si>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</si>
  <si>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</si>
  <si>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</si>
  <si>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</si>
  <si>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</si>
  <si>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</si>
  <si>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</si>
  <si>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</si>
  <si>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</si>
  <si>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</si>
  <si>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</si>
  <si>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</si>
  <si>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</si>
  <si>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</si>
  <si>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</si>
  <si>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</si>
  <si>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</si>
  <si>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</si>
  <si>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</si>
  <si>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</si>
  <si>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</si>
  <si>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</si>
  <si>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</si>
  <si>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</si>
  <si>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</si>
  <si>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</si>
  <si>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</si>
  <si>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</si>
  <si>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</si>
  <si>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</si>
  <si>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</si>
  <si>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</si>
  <si>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</si>
  <si>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</si>
  <si>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</si>
  <si>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</si>
  <si>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</si>
  <si>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</si>
  <si>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</si>
  <si>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</si>
  <si>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</si>
  <si>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</si>
  <si>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</si>
  <si>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</si>
  <si>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</si>
  <si>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</si>
  <si>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</si>
  <si>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</si>
  <si>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</si>
  <si>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</si>
  <si>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</si>
  <si>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</si>
  <si>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</si>
  <si>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</si>
  <si>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</si>
  <si>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</si>
  <si>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</si>
  <si>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</si>
  <si>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</si>
  <si>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</si>
  <si>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</si>
  <si>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</si>
  <si>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</si>
  <si>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</si>
  <si>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</si>
  <si>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</si>
  <si>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</si>
  <si>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</si>
  <si>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</si>
  <si>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</si>
  <si>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</si>
  <si>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</si>
  <si>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</si>
  <si>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</si>
  <si>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</si>
  <si>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</si>
  <si>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</si>
  <si>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</si>
  <si>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</si>
  <si>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</si>
  <si>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</si>
  <si>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</si>
  <si>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</si>
  <si>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</si>
  <si>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</si>
  <si>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</si>
  <si>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</si>
  <si>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</si>
  <si>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</si>
  <si>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</si>
  <si>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</si>
  <si>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</si>
  <si>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</si>
  <si>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</si>
  <si>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</si>
  <si>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</si>
  <si>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</si>
  <si>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</si>
  <si>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</si>
  <si>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</si>
  <si>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</si>
  <si>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</si>
  <si>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</si>
  <si>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</si>
  <si>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</si>
  <si>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</si>
  <si>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</si>
  <si>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</si>
  <si>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</si>
  <si>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</si>
  <si>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</si>
  <si>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</si>
  <si>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</si>
  <si>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</si>
  <si>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</si>
  <si>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</si>
  <si>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</si>
  <si>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</si>
  <si>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</si>
  <si>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</si>
  <si>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</si>
  <si>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</si>
  <si>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</si>
  <si>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</si>
  <si>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</si>
  <si>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</si>
  <si>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</si>
  <si>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</si>
  <si>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</si>
  <si>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</si>
  <si>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</si>
  <si>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</si>
  <si>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</si>
  <si>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</si>
  <si>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</si>
  <si>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</si>
  <si>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</si>
  <si>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</si>
  <si>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</si>
  <si>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</si>
  <si>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</si>
  <si>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</si>
  <si>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</si>
  <si>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</si>
  <si>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</si>
  <si>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</si>
  <si>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</si>
  <si>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</si>
  <si>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</si>
  <si>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</si>
  <si>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</si>
  <si>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</si>
  <si>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</si>
  <si>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</si>
  <si>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</si>
  <si>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</si>
  <si>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</si>
  <si>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</si>
  <si>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</si>
  <si>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</si>
  <si>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</si>
  <si>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</si>
  <si>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</si>
  <si>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</si>
  <si>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</si>
  <si>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</si>
  <si>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</si>
  <si>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</si>
  <si>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</si>
  <si>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</si>
  <si>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</si>
  <si>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</si>
  <si>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</si>
  <si>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</si>
  <si>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</si>
  <si>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</si>
  <si>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</si>
  <si>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</si>
  <si>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</si>
  <si>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</si>
  <si>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</si>
  <si>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</si>
  <si>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</si>
  <si>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</si>
  <si>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</si>
  <si>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</si>
  <si>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</si>
  <si>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</si>
  <si>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</si>
  <si>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</si>
  <si>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</si>
  <si>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</si>
  <si>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</si>
  <si>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</si>
  <si>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</si>
  <si>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</si>
  <si>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</si>
  <si>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</si>
  <si>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</si>
  <si>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</si>
  <si>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</si>
  <si>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</si>
  <si>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</si>
  <si>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</si>
  <si>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</si>
  <si>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</si>
  <si>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</si>
  <si>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</si>
  <si>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</si>
  <si>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</si>
  <si>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</si>
  <si>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</si>
  <si>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</si>
  <si>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</si>
  <si>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</si>
  <si>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</si>
  <si>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</si>
  <si>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</si>
  <si>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</si>
  <si>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</si>
  <si>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</si>
  <si>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</si>
  <si>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</si>
  <si>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</si>
  <si>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</si>
  <si>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</si>
  <si>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</si>
  <si>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</si>
  <si>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</si>
  <si>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</si>
  <si>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</si>
  <si>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</si>
  <si>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</si>
  <si>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</si>
  <si>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</si>
  <si>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</si>
  <si>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</si>
  <si>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</si>
  <si>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</si>
  <si>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</si>
  <si>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</si>
  <si>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</si>
  <si>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</si>
  <si>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</si>
  <si>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</si>
  <si>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</si>
  <si>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</si>
  <si>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</si>
  <si>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</si>
  <si>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</si>
  <si>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</si>
  <si>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</si>
  <si>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</si>
  <si>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</si>
  <si>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</si>
  <si>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</si>
  <si>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</si>
  <si>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</si>
  <si>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</si>
  <si>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</si>
  <si>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</si>
  <si>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</si>
  <si>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</si>
  <si>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</si>
  <si>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</si>
  <si>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</si>
  <si>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</si>
  <si>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</si>
  <si>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</si>
  <si>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</si>
  <si>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</si>
  <si>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</si>
  <si>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</si>
  <si>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</si>
  <si>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</si>
  <si>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</si>
  <si>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</si>
  <si>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</si>
  <si>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</si>
  <si>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</si>
  <si>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</si>
  <si>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</si>
  <si>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</si>
  <si>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</si>
  <si>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</si>
  <si>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</si>
  <si>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</si>
  <si>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</si>
  <si>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</si>
  <si>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</si>
  <si>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</si>
  <si>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</si>
  <si>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</si>
  <si>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</si>
  <si>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</si>
  <si>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</si>
  <si>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</si>
  <si>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</si>
  <si>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</si>
  <si>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</si>
  <si>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</si>
  <si>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</si>
  <si>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</si>
  <si>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</si>
  <si>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</si>
  <si>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</si>
  <si>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</si>
  <si>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</si>
  <si>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</si>
  <si>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</si>
  <si>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</si>
  <si>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</si>
  <si>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</si>
  <si>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</si>
  <si>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</si>
  <si>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</si>
  <si>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</si>
  <si>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</si>
  <si>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</si>
  <si>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</si>
  <si>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</si>
  <si>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</si>
  <si>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</si>
  <si>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</si>
  <si>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</si>
  <si>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</si>
  <si>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</si>
  <si>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</si>
  <si>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</si>
  <si>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</si>
  <si>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</si>
  <si>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</si>
  <si>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</si>
  <si>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</si>
  <si>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</si>
  <si>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</si>
  <si>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</si>
  <si>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</si>
  <si>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</si>
  <si>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</si>
  <si>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</si>
  <si>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</si>
  <si>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</si>
  <si>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</si>
  <si>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</si>
  <si>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</si>
  <si>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</si>
  <si>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</si>
  <si>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</si>
  <si>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</si>
  <si>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</si>
  <si>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</si>
  <si>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</si>
  <si>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</si>
  <si>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</si>
  <si>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</si>
  <si>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</si>
  <si>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</si>
  <si>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</si>
  <si>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</si>
  <si>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</si>
  <si>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</si>
  <si>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</si>
  <si>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</si>
  <si>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</si>
  <si>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</si>
  <si>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</si>
  <si>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</si>
  <si>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</si>
  <si>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</si>
  <si>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</si>
  <si>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</si>
  <si>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</si>
  <si>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</si>
  <si>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</si>
  <si>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</si>
  <si>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</si>
  <si>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</si>
  <si>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</si>
  <si>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</si>
  <si>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</si>
  <si>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</si>
  <si>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</si>
  <si>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</si>
  <si>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</si>
  <si>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</si>
  <si>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</si>
  <si>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</si>
  <si>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</si>
  <si>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</si>
  <si>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</si>
  <si>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</si>
  <si>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</si>
  <si>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</si>
  <si>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</si>
  <si>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</si>
  <si>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</si>
  <si>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</si>
  <si>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</si>
  <si>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</si>
  <si>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</si>
  <si>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</si>
  <si>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</si>
  <si>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</si>
  <si>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</si>
  <si>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</si>
  <si>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</si>
  <si>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</si>
  <si>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</si>
  <si>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</si>
  <si>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</si>
  <si>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</si>
  <si>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</si>
  <si>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</si>
  <si>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</si>
  <si>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</si>
  <si>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</si>
  <si>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</si>
  <si>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</si>
  <si>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</si>
  <si>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</si>
  <si>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</si>
  <si>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</si>
  <si>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</si>
  <si>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</si>
  <si>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</si>
  <si>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</si>
  <si>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</si>
  <si>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</si>
  <si>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</si>
  <si>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</si>
  <si>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</si>
  <si>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</si>
  <si>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</si>
  <si>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</si>
  <si>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</si>
  <si>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</si>
  <si>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</si>
  <si>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</si>
  <si>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</si>
  <si>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</si>
  <si>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</si>
  <si>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</si>
  <si>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</si>
  <si>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</si>
  <si>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</si>
  <si>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</si>
  <si>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</si>
  <si>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</si>
  <si>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</si>
  <si>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</si>
  <si>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</si>
  <si>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</si>
  <si>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</si>
  <si>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</si>
  <si>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</si>
  <si>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</si>
  <si>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</si>
  <si>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</si>
  <si>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</si>
  <si>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</si>
  <si>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</si>
  <si>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</si>
  <si>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</si>
  <si>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</si>
  <si>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</si>
  <si>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</si>
  <si>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</si>
  <si>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</si>
  <si>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</si>
  <si>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</si>
  <si>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</si>
  <si>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</si>
  <si>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</si>
  <si>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</si>
  <si>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</si>
  <si>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</si>
  <si>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</si>
  <si>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</si>
  <si>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</si>
  <si>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</si>
  <si>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</si>
  <si>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</si>
  <si>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</si>
  <si>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</si>
  <si>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</si>
  <si>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</si>
  <si>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</si>
  <si>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</si>
  <si>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</si>
  <si>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</si>
  <si>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</si>
  <si>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</si>
  <si>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</si>
  <si>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</si>
  <si>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</si>
  <si>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</si>
  <si>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</si>
  <si>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</si>
  <si>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</si>
  <si>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</si>
  <si>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</si>
  <si>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</si>
  <si>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</si>
  <si>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</si>
  <si>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</si>
  <si>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</si>
  <si>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</si>
  <si>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</si>
  <si>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</si>
  <si>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</si>
  <si>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</si>
  <si>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</si>
  <si>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</si>
  <si>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</si>
  <si>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</si>
  <si>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</si>
  <si>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</si>
  <si>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</si>
  <si>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</si>
  <si>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</si>
  <si>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</si>
  <si>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</si>
  <si>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</si>
  <si>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</si>
  <si>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</si>
  <si>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</si>
  <si>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</si>
  <si>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</si>
  <si>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</si>
  <si>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</si>
  <si>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</si>
  <si>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</si>
  <si>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</si>
  <si>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</si>
  <si>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</si>
  <si>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</si>
  <si>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</si>
  <si>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</si>
  <si>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</si>
  <si>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</si>
  <si>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</si>
  <si>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</si>
  <si>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</si>
  <si>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</si>
  <si>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</si>
  <si>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</si>
  <si>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</si>
  <si>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</si>
  <si>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</si>
  <si>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</si>
  <si>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</si>
  <si>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</si>
  <si>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</si>
  <si>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</si>
  <si>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</si>
  <si>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</si>
  <si>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</si>
  <si>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</si>
  <si>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</si>
  <si>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</si>
  <si>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</si>
  <si>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</si>
  <si>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</si>
  <si>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</si>
  <si>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</si>
  <si>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</si>
  <si>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</si>
  <si>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</si>
  <si>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</si>
  <si>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</si>
  <si>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</si>
  <si>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</si>
  <si>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</si>
  <si>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</si>
  <si>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</si>
  <si>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</si>
  <si>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</si>
  <si>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</si>
  <si>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</si>
  <si>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</si>
  <si>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</si>
  <si>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</si>
  <si>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</si>
  <si>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</si>
  <si>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</si>
  <si>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</si>
  <si>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</si>
  <si>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</si>
  <si>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</si>
  <si>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</si>
  <si>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</si>
  <si>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</si>
  <si>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</si>
  <si>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</si>
  <si>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</si>
  <si>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</si>
  <si>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</si>
  <si>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</si>
  <si>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</si>
  <si>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</si>
  <si>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</si>
  <si>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</si>
  <si>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</si>
  <si>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</si>
  <si>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</si>
  <si>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</si>
  <si>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</si>
  <si>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</si>
  <si>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</si>
  <si>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</si>
  <si>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</si>
  <si>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</si>
  <si>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</si>
  <si>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</si>
  <si>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</si>
  <si>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</si>
  <si>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</si>
  <si>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</si>
  <si>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</si>
  <si>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</si>
  <si>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</si>
  <si>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</si>
  <si>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</si>
  <si>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</si>
  <si>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</si>
  <si>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</si>
  <si>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</si>
  <si>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</si>
  <si>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</si>
  <si>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</si>
  <si>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</si>
  <si>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</si>
  <si>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</si>
  <si>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</si>
  <si>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</si>
  <si>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</si>
  <si>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</si>
  <si>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</si>
  <si>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</si>
  <si>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</si>
  <si>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</si>
  <si>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</si>
  <si>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</si>
  <si>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</si>
  <si>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</si>
  <si>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</si>
  <si>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</si>
  <si>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</si>
  <si>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</si>
  <si>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</si>
  <si>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</si>
  <si>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</si>
  <si>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</si>
  <si>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</si>
  <si>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</si>
  <si>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</si>
  <si>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</si>
  <si>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</si>
  <si>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</si>
  <si>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</si>
  <si>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</si>
  <si>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</si>
  <si>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</si>
  <si>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</si>
  <si>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</si>
  <si>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</si>
  <si>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</si>
  <si>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</si>
  <si>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</si>
  <si>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</si>
  <si>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</si>
  <si>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</si>
  <si>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</si>
  <si>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</si>
  <si>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</si>
  <si>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</si>
  <si>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</si>
  <si>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</si>
  <si>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</si>
  <si>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</si>
  <si>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</si>
  <si>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</si>
  <si>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</si>
  <si>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</si>
  <si>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</si>
  <si>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</si>
  <si>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</si>
  <si>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</si>
  <si>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</si>
  <si>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</si>
  <si>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</si>
  <si>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</si>
  <si>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</si>
  <si>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</si>
  <si>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</si>
  <si>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</si>
  <si>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</si>
  <si>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</si>
  <si>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</si>
  <si>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</si>
  <si>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</si>
  <si>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</si>
  <si>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</si>
  <si>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</si>
  <si>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</si>
  <si>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</si>
  <si>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</si>
  <si>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</si>
  <si>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</si>
  <si>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</si>
  <si>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</si>
  <si>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</si>
  <si>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</si>
  <si>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</si>
  <si>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</si>
  <si>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</si>
  <si>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</si>
  <si>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</si>
  <si>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</si>
  <si>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</si>
  <si>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</si>
  <si>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</si>
  <si>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</si>
  <si>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</si>
  <si>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</si>
  <si>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</si>
  <si>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</si>
  <si>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</si>
  <si>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</si>
  <si>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</si>
  <si>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</si>
  <si>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</si>
  <si>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</si>
  <si>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</si>
  <si>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</si>
  <si>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</si>
  <si>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</si>
  <si>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</si>
  <si>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</si>
  <si>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</si>
  <si>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</si>
  <si>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</si>
  <si>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</si>
  <si>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</si>
  <si>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</si>
  <si>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</si>
  <si>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</si>
  <si>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</si>
  <si>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</si>
  <si>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</si>
  <si>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</si>
  <si>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</si>
  <si>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</si>
  <si>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</si>
  <si>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</si>
  <si>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</si>
  <si>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</si>
  <si>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</si>
  <si>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</si>
  <si>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</si>
  <si>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</si>
  <si>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</si>
  <si>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</si>
  <si>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</si>
  <si>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</si>
  <si>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</si>
  <si>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</si>
  <si>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</si>
  <si>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</si>
  <si>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</si>
  <si>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</si>
  <si>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</si>
  <si>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</si>
  <si>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</si>
  <si>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</si>
  <si>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</si>
  <si>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</si>
  <si>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</si>
  <si>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</si>
  <si>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</si>
  <si>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</si>
  <si>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</si>
  <si>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</si>
  <si>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</si>
  <si>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</si>
  <si>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</si>
  <si>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</si>
  <si>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</si>
  <si>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</si>
  <si>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</si>
  <si>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</si>
  <si>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</si>
  <si>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</si>
  <si>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</si>
  <si>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</si>
  <si>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</si>
  <si>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</si>
  <si>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</si>
  <si>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</si>
  <si>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</si>
  <si>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</si>
  <si>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</si>
  <si>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</si>
  <si>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</si>
  <si>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</si>
  <si>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</si>
  <si>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</si>
  <si>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</si>
  <si>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</si>
  <si>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</si>
  <si>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</si>
  <si>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</si>
  <si>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</si>
  <si>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</si>
  <si>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</si>
  <si>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</si>
  <si>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</si>
  <si>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</si>
  <si>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</si>
  <si>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</si>
  <si>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</si>
  <si>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</si>
  <si>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</si>
  <si>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</si>
  <si>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</si>
  <si>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</si>
  <si>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</si>
  <si>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</si>
  <si>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</si>
  <si>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</si>
  <si>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</si>
  <si>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</si>
  <si>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</si>
  <si>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</si>
  <si>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</si>
  <si>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</si>
  <si>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</si>
  <si>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</si>
  <si>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</si>
  <si>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</si>
  <si>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</si>
  <si>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</si>
  <si>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</si>
  <si>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</si>
  <si>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</si>
  <si>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</si>
  <si>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</si>
  <si>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</si>
  <si>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</si>
  <si>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</si>
  <si>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</si>
  <si>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</si>
  <si>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</si>
  <si>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</si>
  <si>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</si>
  <si>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</si>
  <si>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</si>
  <si>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</si>
  <si>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</si>
  <si>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</si>
  <si>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</si>
  <si>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</si>
  <si>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</si>
  <si>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</si>
  <si>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</si>
  <si>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</si>
  <si>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</si>
  <si>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</si>
  <si>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</si>
  <si>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</si>
  <si>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</si>
  <si>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</si>
  <si>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</si>
  <si>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</si>
  <si>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</si>
  <si>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</si>
  <si>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</si>
  <si>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</si>
  <si>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</si>
  <si>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</si>
  <si>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</si>
  <si>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</si>
  <si>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</si>
  <si>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</si>
  <si>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</si>
  <si>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</si>
  <si>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</si>
  <si>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</si>
  <si>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</si>
  <si>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</si>
  <si>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</si>
  <si>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</si>
  <si>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</si>
  <si>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</si>
  <si>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</si>
  <si>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</si>
  <si>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</si>
  <si>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</si>
  <si>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</si>
  <si>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</si>
  <si>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</si>
  <si>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</si>
  <si>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</si>
  <si>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</si>
  <si>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</si>
  <si>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</si>
  <si>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</si>
  <si>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</si>
  <si>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</si>
  <si>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</si>
  <si>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</si>
  <si>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</si>
  <si>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</si>
  <si>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</si>
  <si>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</si>
  <si>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</si>
  <si>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</si>
  <si>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</si>
  <si>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</si>
  <si>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</si>
  <si>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</si>
  <si>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</si>
  <si>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</si>
  <si>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</si>
  <si>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</si>
  <si>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</si>
  <si>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</si>
  <si>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</si>
  <si>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</si>
  <si>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</si>
  <si>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</si>
  <si>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</si>
  <si>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</si>
  <si>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</si>
  <si>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</si>
  <si>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</si>
  <si>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</si>
  <si>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</si>
  <si>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</si>
  <si>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</si>
  <si>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</si>
  <si>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</si>
  <si>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</si>
  <si>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</si>
  <si>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</si>
  <si>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</si>
  <si>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</si>
  <si>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</si>
  <si>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</si>
  <si>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</si>
  <si>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</si>
  <si>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</si>
  <si>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</si>
  <si>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</si>
  <si>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</si>
  <si>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</si>
  <si>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</si>
  <si>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</si>
  <si>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</si>
  <si>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</si>
  <si>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</si>
  <si>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</si>
  <si>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</si>
  <si>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</si>
  <si>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</si>
  <si>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</si>
  <si>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</si>
  <si>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</si>
  <si>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</si>
  <si>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</si>
  <si>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</si>
  <si>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</si>
  <si>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</si>
  <si>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</si>
  <si>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</si>
  <si>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</si>
  <si>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</si>
  <si>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</si>
  <si>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</si>
  <si>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</si>
  <si>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</si>
  <si>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</si>
  <si>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</si>
  <si>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</si>
  <si>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</si>
  <si>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</si>
  <si>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</si>
  <si>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</si>
  <si>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</si>
  <si>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</si>
  <si>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</si>
  <si>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</si>
  <si>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</si>
  <si>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</si>
  <si>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</si>
  <si>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</si>
  <si>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</si>
  <si>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</si>
  <si>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</si>
  <si>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</si>
  <si>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</si>
  <si>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</si>
  <si>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</si>
  <si>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</si>
  <si>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</si>
  <si>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</si>
  <si>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</si>
  <si>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</si>
  <si>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</si>
  <si>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</si>
  <si>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</si>
  <si>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</si>
  <si>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</si>
  <si>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</si>
  <si>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</si>
  <si>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</si>
  <si>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</si>
  <si>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</si>
  <si>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</si>
  <si>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</si>
  <si>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</si>
  <si>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</si>
  <si>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</si>
  <si>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</si>
  <si>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</si>
  <si>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</si>
  <si>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</si>
  <si>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</si>
  <si>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</si>
  <si>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</si>
  <si>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</si>
  <si>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</si>
  <si>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</si>
  <si>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</si>
  <si>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</si>
  <si>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</si>
  <si>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</si>
  <si>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</si>
  <si>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</si>
  <si>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</si>
  <si>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</si>
  <si>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</si>
  <si>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</si>
  <si>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</si>
  <si>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</si>
  <si>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</si>
  <si>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</si>
  <si>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</si>
  <si>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</si>
  <si>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</si>
  <si>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</si>
  <si>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</si>
  <si>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</si>
  <si>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</si>
  <si>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</si>
  <si>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</si>
  <si>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</si>
  <si>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</si>
  <si>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</si>
  <si>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</si>
  <si>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</si>
  <si>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</si>
  <si>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</si>
  <si>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</si>
  <si>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</si>
  <si>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</si>
  <si>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</si>
  <si>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</si>
  <si>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</si>
  <si>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</si>
  <si>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</si>
  <si>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</si>
  <si>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</si>
  <si>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</si>
  <si>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</si>
  <si>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</si>
  <si>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</si>
  <si>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</si>
  <si>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</si>
  <si>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</si>
  <si>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</si>
  <si>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</si>
  <si>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</si>
  <si>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</si>
  <si>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</si>
  <si>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</si>
  <si>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</si>
  <si>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</si>
  <si>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</si>
  <si>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</si>
  <si>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</si>
  <si>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</si>
  <si>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</si>
  <si>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</si>
  <si>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</si>
  <si>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</si>
  <si>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</si>
  <si>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</si>
  <si>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</si>
  <si>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</si>
  <si>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</si>
  <si>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</si>
  <si>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</si>
  <si>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</si>
  <si>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</si>
  <si>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</si>
  <si>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</si>
  <si>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</si>
  <si>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</si>
  <si>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</si>
  <si>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</si>
  <si>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</si>
  <si>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</si>
  <si>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</si>
  <si>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</si>
  <si>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</si>
  <si>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</si>
  <si>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</si>
  <si>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</si>
  <si>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</si>
  <si>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</si>
  <si>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</si>
  <si>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</si>
  <si>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</si>
  <si>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</si>
  <si>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</si>
  <si>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</si>
  <si>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</si>
  <si>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</si>
  <si>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</si>
  <si>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</si>
  <si>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</si>
  <si>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</si>
  <si>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</si>
  <si>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</si>
  <si>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</si>
  <si>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</si>
  <si>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</si>
  <si>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</si>
  <si>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</si>
  <si>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</si>
  <si>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</si>
  <si>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</si>
  <si>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</si>
  <si>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</si>
  <si>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</si>
  <si>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</si>
  <si>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</si>
  <si>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</si>
  <si>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</si>
  <si>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</si>
  <si>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</si>
  <si>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</si>
  <si>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</si>
  <si>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</si>
  <si>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</si>
  <si>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</si>
  <si>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</si>
  <si>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</si>
  <si>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</si>
  <si>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</si>
  <si>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</si>
  <si>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</si>
  <si>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</si>
  <si>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</si>
  <si>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</si>
  <si>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</si>
  <si>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</si>
  <si>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</si>
  <si>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</si>
  <si>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</si>
  <si>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</si>
  <si>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</si>
  <si>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</si>
  <si>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</si>
  <si>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</si>
  <si>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</si>
  <si>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</si>
  <si>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</si>
  <si>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</si>
  <si>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</si>
  <si>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</si>
  <si>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</si>
  <si>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</si>
  <si>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</si>
  <si>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</si>
  <si>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</si>
  <si>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</si>
  <si>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</si>
  <si>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</si>
  <si>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</si>
  <si>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</si>
  <si>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</si>
  <si>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</si>
  <si>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</si>
  <si>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</si>
  <si>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</si>
  <si>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</si>
  <si>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</si>
  <si>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</si>
  <si>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</si>
  <si>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</si>
  <si>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</si>
  <si>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</si>
  <si>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</si>
  <si>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</si>
  <si>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</si>
  <si>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</si>
  <si>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</si>
  <si>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</si>
  <si>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</si>
  <si>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</si>
  <si>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</si>
  <si>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</si>
  <si>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</si>
  <si>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</si>
  <si>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</si>
  <si>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</si>
  <si>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</si>
  <si>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</si>
  <si>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</si>
  <si>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</si>
  <si>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</si>
  <si>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</si>
  <si>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</si>
  <si>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</si>
  <si>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</si>
  <si>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</si>
  <si>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</si>
  <si>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</si>
  <si>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</si>
  <si>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</si>
  <si>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</si>
  <si>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</si>
  <si>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</si>
  <si>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</si>
  <si>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</si>
  <si>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</si>
  <si>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</si>
  <si>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</si>
  <si>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</si>
  <si>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</si>
  <si>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</si>
  <si>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</si>
  <si>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</si>
  <si>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</si>
  <si>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</si>
  <si>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</si>
  <si>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</si>
  <si>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</si>
  <si>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</si>
  <si>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</si>
  <si>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</si>
  <si>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</si>
  <si>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</si>
  <si>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</si>
  <si>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</si>
  <si>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</si>
  <si>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</si>
  <si>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</si>
  <si>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</si>
  <si>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</si>
  <si>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</si>
  <si>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</si>
  <si>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</si>
  <si>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</si>
  <si>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</si>
  <si>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</si>
  <si>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</si>
  <si>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</si>
  <si>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</si>
  <si>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</si>
  <si>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</si>
  <si>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</si>
  <si>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</si>
  <si>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</si>
  <si>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</si>
  <si>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</si>
  <si>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</si>
  <si>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</si>
  <si>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</si>
  <si>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</si>
  <si>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</si>
  <si>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</si>
  <si>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</si>
  <si>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</si>
  <si>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</si>
  <si>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</si>
  <si>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</si>
  <si>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</si>
  <si>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</si>
  <si>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</si>
  <si>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</si>
  <si>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</si>
  <si>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</si>
  <si>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</si>
  <si>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</si>
  <si>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</si>
  <si>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</si>
  <si>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</si>
  <si>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</si>
  <si>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</si>
  <si>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</si>
  <si>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</si>
  <si>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</si>
  <si>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</si>
  <si>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</si>
  <si>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</si>
  <si>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</si>
  <si>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</si>
  <si>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</si>
  <si>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</si>
  <si>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</si>
  <si>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</si>
  <si>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</si>
  <si>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</si>
  <si>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</si>
  <si>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</si>
  <si>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</si>
  <si>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</si>
  <si>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</si>
  <si>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</si>
  <si>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</si>
  <si>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</si>
  <si>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</si>
  <si>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</si>
  <si>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</si>
  <si>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</si>
  <si>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</si>
  <si>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</si>
  <si>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</si>
  <si>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</si>
  <si>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</si>
  <si>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</si>
  <si>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</si>
  <si>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</si>
  <si>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</si>
  <si>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</si>
  <si>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</si>
  <si>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</si>
  <si>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</si>
  <si>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</si>
  <si>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</si>
  <si>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</si>
  <si>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</si>
  <si>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</si>
  <si>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</si>
  <si>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</si>
  <si>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</si>
  <si>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</si>
  <si>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</si>
  <si>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</si>
  <si>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</si>
  <si>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</si>
  <si>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</si>
  <si>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</si>
  <si>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</si>
  <si>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</si>
  <si>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</si>
  <si>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</si>
  <si>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</si>
  <si>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</si>
  <si>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</si>
  <si>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</si>
  <si>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</si>
  <si>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</si>
  <si>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</si>
  <si>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</si>
  <si>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</si>
  <si>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</si>
  <si>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</si>
  <si>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</si>
  <si>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</si>
  <si>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</si>
  <si>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</si>
  <si>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</si>
  <si>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</si>
  <si>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</si>
  <si>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</si>
  <si>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</si>
  <si>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</si>
  <si>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</si>
  <si>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</si>
  <si>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</si>
  <si>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</si>
  <si>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</si>
  <si>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</si>
  <si>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</si>
  <si>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</si>
  <si>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</si>
  <si>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</si>
  <si>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</si>
  <si>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</si>
  <si>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</si>
  <si>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</si>
  <si>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</si>
  <si>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</si>
  <si>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</si>
  <si>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</si>
  <si>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</si>
  <si>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</si>
  <si>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</si>
  <si>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</si>
  <si>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</si>
  <si>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</si>
  <si>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</si>
  <si>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</si>
  <si>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</si>
  <si>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</si>
  <si>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</si>
  <si>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</si>
  <si>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</si>
  <si>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</si>
  <si>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</si>
  <si>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</si>
  <si>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</si>
  <si>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</si>
  <si>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</si>
  <si>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</si>
  <si>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</si>
  <si>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</si>
  <si>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</si>
  <si>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</si>
  <si>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</si>
  <si>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</si>
  <si>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</si>
  <si>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</si>
  <si>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</si>
  <si>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</si>
  <si>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</si>
  <si>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</si>
  <si>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</si>
  <si>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</si>
  <si>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</si>
  <si>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</si>
  <si>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</si>
  <si>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</si>
  <si>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</si>
  <si>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</si>
  <si>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</si>
  <si>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</si>
  <si>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</si>
  <si>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</si>
  <si>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</si>
  <si>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</si>
  <si>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</si>
  <si>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</si>
  <si>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</si>
  <si>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</si>
  <si>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</si>
  <si>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</si>
  <si>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</si>
  <si>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</si>
  <si>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</si>
  <si>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</si>
  <si>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</si>
  <si>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</si>
  <si>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</si>
  <si>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</si>
  <si>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</si>
  <si>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</si>
  <si>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</si>
  <si>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</si>
  <si>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</si>
  <si>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</si>
  <si>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</si>
  <si>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</si>
  <si>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</si>
  <si>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</si>
  <si>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</si>
  <si>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</si>
  <si>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</si>
  <si>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</si>
  <si>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</si>
  <si>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</si>
  <si>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</si>
  <si>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</si>
  <si>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</si>
  <si>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</si>
  <si>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</si>
  <si>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</si>
  <si>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</si>
  <si>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</si>
  <si>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</si>
  <si>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</si>
  <si>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</si>
  <si>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</si>
  <si>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</si>
  <si>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</si>
  <si>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</si>
  <si>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</si>
  <si>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</si>
  <si>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</si>
  <si>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</si>
  <si>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</si>
  <si>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</si>
  <si>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</si>
  <si>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</si>
  <si>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</si>
  <si>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</si>
  <si>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</si>
  <si>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</si>
  <si>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</si>
  <si>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</si>
  <si>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</si>
  <si>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</si>
  <si>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</si>
  <si>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</si>
  <si>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</si>
  <si>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</si>
  <si>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</si>
  <si>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</si>
  <si>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</si>
  <si>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</si>
  <si>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</si>
  <si>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</si>
  <si>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</si>
  <si>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</si>
  <si>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</si>
  <si>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</si>
  <si>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</si>
  <si>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</si>
  <si>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</si>
  <si>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</si>
  <si>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</si>
  <si>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</si>
  <si>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</si>
  <si>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</si>
  <si>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</si>
  <si>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</si>
  <si>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</si>
  <si>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</si>
  <si>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</si>
  <si>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</si>
  <si>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</si>
  <si>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</si>
  <si>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</si>
  <si>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</si>
  <si>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</si>
  <si>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</si>
  <si>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</si>
  <si>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</si>
  <si>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</si>
  <si>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</si>
  <si>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</si>
  <si>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</si>
  <si>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</si>
  <si>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</si>
  <si>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</si>
  <si>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</si>
  <si>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</si>
  <si>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</si>
  <si>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</si>
  <si>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</si>
  <si>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</si>
  <si>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</si>
  <si>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</si>
  <si>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</si>
  <si>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</si>
  <si>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</si>
  <si>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</si>
  <si>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</si>
  <si>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</si>
  <si>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</si>
  <si>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</si>
  <si>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</si>
  <si>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</si>
  <si>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</si>
  <si>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</si>
  <si>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</si>
  <si>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</si>
  <si>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</si>
  <si>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</si>
  <si>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</si>
  <si>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</si>
  <si>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</si>
  <si>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</si>
  <si>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</si>
  <si>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</si>
  <si>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</si>
  <si>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</si>
  <si>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</si>
  <si>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</si>
  <si>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</si>
  <si>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</si>
  <si>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</si>
  <si>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</si>
  <si>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</si>
  <si>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</si>
  <si>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</si>
  <si>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</si>
  <si>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</si>
  <si>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</si>
  <si>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</si>
  <si>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</si>
  <si>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</si>
  <si>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</si>
  <si>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</si>
  <si>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</si>
  <si>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</si>
  <si>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</si>
  <si>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</si>
  <si>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</si>
  <si>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</si>
  <si>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</si>
  <si>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</si>
  <si>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</si>
  <si>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</si>
  <si>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</si>
  <si>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</si>
  <si>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</si>
  <si>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</si>
  <si>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</si>
  <si>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</si>
  <si>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</si>
  <si>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</si>
  <si>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</si>
  <si>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</si>
  <si>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</si>
  <si>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</si>
  <si>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</si>
  <si>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</si>
  <si>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</si>
  <si>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</si>
  <si>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</si>
  <si>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</si>
  <si>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</si>
  <si>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</si>
  <si>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</si>
  <si>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</si>
  <si>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</si>
  <si>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</si>
  <si>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</si>
  <si>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</si>
  <si>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</si>
  <si>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</si>
  <si>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</si>
  <si>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</si>
  <si>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</si>
  <si>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</si>
  <si>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</si>
  <si>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</si>
  <si>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</si>
  <si>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</si>
  <si>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</si>
  <si>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</si>
  <si>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</si>
  <si>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</si>
  <si>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</si>
  <si>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</si>
  <si>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</si>
  <si>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</si>
  <si>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</si>
  <si>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</si>
  <si>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</si>
  <si>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</si>
  <si>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</si>
  <si>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</si>
  <si>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</si>
  <si>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</si>
  <si>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</si>
  <si>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</si>
  <si>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</si>
  <si>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</si>
  <si>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</si>
  <si>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</si>
  <si>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</si>
  <si>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</si>
  <si>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</si>
  <si>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</si>
  <si>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</si>
  <si>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</si>
  <si>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</si>
  <si>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</si>
  <si>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</si>
  <si>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</si>
  <si>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</si>
  <si>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</si>
  <si>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</si>
  <si>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</si>
  <si>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</si>
  <si>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</si>
  <si>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</si>
  <si>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</si>
  <si>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</si>
  <si>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</si>
  <si>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</si>
  <si>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</si>
  <si>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</si>
  <si>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</si>
  <si>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</si>
  <si>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</si>
  <si>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</si>
  <si>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</si>
  <si>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</si>
  <si>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</si>
  <si>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</si>
  <si>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</si>
  <si>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</si>
  <si>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</si>
  <si>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</si>
  <si>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</si>
  <si>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</si>
  <si>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</si>
  <si>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</si>
  <si>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</si>
  <si>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</si>
  <si>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</si>
  <si>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</si>
  <si>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</si>
  <si>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</si>
  <si>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</si>
  <si>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</si>
  <si>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</si>
  <si>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</si>
  <si>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</si>
  <si>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</si>
  <si>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</si>
  <si>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</si>
  <si>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</si>
  <si>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</si>
  <si>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</si>
  <si>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</si>
  <si>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</si>
  <si>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</si>
  <si>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</si>
  <si>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</si>
  <si>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</si>
  <si>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</si>
  <si>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</si>
  <si>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</si>
  <si>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</si>
  <si>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</si>
  <si>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</si>
  <si>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</si>
  <si>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</si>
  <si>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</si>
  <si>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</si>
  <si>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</si>
  <si>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</si>
  <si>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</si>
  <si>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</si>
  <si>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</si>
  <si>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</si>
  <si>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</si>
  <si>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</si>
  <si>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</si>
  <si>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</si>
  <si>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</si>
  <si>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</si>
  <si>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</si>
  <si>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</si>
  <si>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</si>
  <si>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</si>
  <si>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</si>
  <si>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</si>
  <si>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</si>
  <si>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</si>
  <si>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</si>
  <si>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</si>
  <si>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</si>
  <si>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</si>
  <si>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</si>
  <si>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</si>
  <si>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</si>
  <si>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</si>
  <si>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</si>
  <si>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</si>
  <si>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</si>
  <si>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</si>
  <si>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</si>
  <si>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</si>
  <si>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</si>
  <si>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</si>
  <si>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</si>
  <si>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</si>
  <si>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</si>
  <si>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</si>
  <si>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</si>
  <si>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</si>
  <si>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</si>
  <si>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</si>
  <si>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</si>
  <si>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</si>
  <si>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</si>
  <si>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</si>
  <si>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</si>
  <si>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</si>
  <si>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</si>
  <si>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</si>
  <si>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</si>
  <si>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</si>
  <si>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</si>
  <si>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</si>
  <si>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</si>
  <si>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</si>
  <si>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</si>
  <si>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</si>
  <si>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</si>
  <si>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</si>
  <si>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</si>
  <si>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</si>
  <si>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</si>
  <si>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</si>
  <si>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</si>
  <si>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</si>
  <si>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</si>
  <si>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</si>
  <si>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</si>
  <si>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</si>
  <si>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</si>
  <si>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</si>
  <si>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</si>
  <si>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</si>
  <si>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</si>
  <si>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</si>
  <si>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</si>
  <si>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</si>
  <si>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</si>
  <si>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</si>
  <si>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</si>
  <si>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</si>
  <si>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</si>
  <si>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</si>
  <si>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</si>
  <si>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</si>
  <si>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</si>
  <si>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</si>
  <si>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</si>
  <si>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</si>
  <si>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</si>
  <si>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</si>
  <si>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</si>
  <si>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</si>
  <si>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</si>
  <si>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</si>
  <si>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</si>
  <si>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</si>
  <si>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</si>
  <si>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</si>
  <si>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</si>
  <si>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</si>
  <si>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</si>
  <si>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</si>
  <si>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</si>
  <si>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</si>
  <si>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</si>
  <si>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</si>
  <si>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</si>
  <si>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</si>
  <si>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</si>
  <si>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</si>
  <si>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</si>
  <si>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</si>
  <si>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</si>
  <si>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</si>
  <si>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</si>
  <si>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</si>
  <si>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</si>
  <si>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</si>
  <si>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</si>
  <si>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</si>
  <si>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</si>
  <si>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</si>
  <si>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</si>
  <si>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</si>
  <si>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</si>
  <si>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</si>
  <si>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</si>
  <si>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</si>
  <si>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</si>
  <si>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</si>
  <si>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</si>
  <si>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</si>
  <si>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</si>
  <si>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</si>
  <si>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</si>
  <si>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</si>
  <si>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</si>
  <si>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</si>
  <si>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</si>
  <si>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</si>
  <si>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</si>
  <si>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</si>
  <si>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</si>
  <si>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</si>
  <si>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</si>
  <si>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</si>
  <si>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</si>
  <si>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</si>
  <si>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</si>
  <si>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</si>
  <si>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</si>
  <si>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</si>
  <si>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</si>
  <si>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</si>
  <si>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</si>
  <si>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</si>
  <si>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</si>
  <si>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</si>
  <si>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</si>
  <si>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</si>
  <si>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</si>
  <si>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</si>
  <si>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</si>
  <si>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</si>
  <si>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</si>
  <si>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</si>
  <si>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</si>
  <si>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</si>
  <si>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</si>
  <si>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</si>
  <si>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</si>
  <si>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</si>
  <si>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</si>
  <si>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</si>
  <si>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</si>
  <si>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</si>
  <si>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</si>
  <si>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</si>
  <si>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</si>
  <si>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</si>
  <si>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</si>
  <si>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</si>
  <si>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</si>
  <si>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</si>
  <si>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</si>
  <si>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</si>
  <si>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</si>
  <si>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</si>
  <si>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</si>
  <si>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</si>
  <si>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</si>
  <si>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</si>
  <si>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</si>
  <si>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</si>
  <si>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</si>
  <si>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</si>
  <si>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</si>
  <si>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</si>
  <si>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</si>
  <si>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</si>
  <si>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</si>
  <si>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</si>
  <si>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</si>
  <si>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</si>
  <si>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</si>
  <si>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</si>
  <si>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</si>
  <si>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</si>
  <si>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</si>
  <si>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</si>
  <si>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</si>
  <si>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</si>
  <si>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</si>
  <si>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</si>
  <si>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</si>
  <si>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</si>
  <si>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</si>
  <si>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</si>
  <si>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</si>
  <si>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</si>
  <si>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</si>
  <si>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</si>
  <si>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</si>
  <si>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</si>
  <si>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</si>
  <si>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</si>
  <si>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</si>
  <si>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</si>
  <si>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</si>
  <si>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</si>
  <si>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</si>
  <si>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</si>
  <si>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</si>
  <si>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</si>
  <si>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</si>
  <si>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</si>
  <si>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</si>
  <si>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</si>
  <si>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</si>
  <si>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</si>
  <si>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</si>
  <si>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</si>
  <si>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</si>
  <si>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</si>
  <si>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</si>
  <si>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</si>
  <si>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</si>
  <si>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</si>
  <si>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</si>
  <si>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</si>
  <si>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</si>
  <si>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</si>
  <si>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</si>
  <si>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</si>
  <si>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</si>
  <si>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</si>
  <si>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</si>
  <si>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</si>
  <si>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</si>
  <si>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</si>
  <si>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</si>
  <si>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</si>
  <si>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</si>
  <si>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</si>
  <si>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</si>
  <si>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</si>
  <si>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</si>
  <si>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</si>
  <si>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</si>
  <si>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</si>
  <si>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</si>
  <si>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</si>
  <si>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</si>
  <si>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</si>
  <si>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</si>
  <si>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</si>
  <si>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</si>
  <si>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</si>
  <si>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</si>
  <si>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</si>
  <si>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</si>
  <si>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</si>
  <si>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</si>
  <si>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</si>
  <si>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</si>
  <si>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</si>
  <si>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</si>
  <si>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</si>
  <si>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</si>
  <si>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</si>
  <si>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</si>
  <si>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</si>
  <si>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</si>
  <si>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</si>
  <si>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</si>
  <si>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</si>
  <si>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</si>
  <si>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</si>
  <si>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</si>
  <si>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</si>
  <si>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</si>
  <si>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</si>
  <si>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</si>
  <si>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</si>
  <si>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</si>
  <si>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</si>
  <si>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</si>
  <si>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</si>
  <si>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</si>
  <si>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</si>
  <si>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</si>
  <si>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</si>
  <si>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</si>
  <si>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</si>
  <si>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</si>
  <si>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</si>
  <si>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</si>
  <si>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</si>
  <si>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</si>
  <si>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</si>
  <si>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</si>
  <si>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</si>
  <si>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</si>
  <si>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</si>
  <si>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</si>
  <si>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</si>
  <si>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</si>
  <si>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</si>
  <si>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</si>
  <si>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</si>
  <si>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</si>
  <si>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</si>
  <si>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</si>
  <si>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</si>
  <si>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</si>
  <si>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</si>
  <si>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</si>
  <si>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</si>
  <si>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</si>
  <si>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</si>
  <si>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</si>
  <si>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</si>
  <si>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</si>
  <si>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</si>
  <si>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</si>
  <si>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</si>
  <si>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</si>
  <si>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</si>
  <si>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</si>
  <si>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</si>
  <si>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</si>
  <si>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</si>
  <si>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</si>
  <si>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</si>
  <si>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</si>
  <si>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</si>
  <si>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</si>
  <si>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</si>
  <si>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</si>
  <si>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</si>
  <si>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</si>
  <si>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</si>
  <si>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</si>
  <si>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</si>
  <si>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</si>
  <si>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</si>
  <si>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</si>
  <si>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</si>
  <si>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</si>
  <si>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</si>
  <si>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</si>
  <si>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</si>
  <si>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</si>
  <si>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</si>
  <si>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</si>
  <si>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</si>
  <si>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</si>
  <si>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</si>
  <si>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</si>
  <si>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</si>
  <si>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</si>
  <si>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</si>
  <si>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</si>
  <si>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</si>
  <si>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</si>
  <si>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</si>
  <si>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</si>
  <si>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</si>
  <si>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</si>
  <si>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</si>
  <si>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</si>
  <si>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</si>
  <si>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</si>
  <si>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</si>
  <si>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</si>
  <si>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</si>
  <si>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</si>
  <si>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</si>
  <si>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</si>
  <si>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</si>
  <si>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</si>
  <si>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</si>
  <si>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</si>
  <si>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</si>
  <si>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</si>
  <si>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</si>
  <si>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</si>
  <si>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</si>
  <si>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</si>
  <si>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</si>
  <si>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</si>
  <si>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</si>
  <si>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</si>
  <si>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</si>
  <si>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</si>
  <si>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</si>
  <si>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</si>
  <si>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</si>
  <si>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</si>
  <si>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</si>
  <si>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</si>
  <si>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</si>
  <si>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</si>
  <si>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</si>
  <si>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</si>
  <si>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</si>
  <si>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</si>
  <si>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</si>
  <si>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</si>
  <si>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</si>
  <si>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</si>
  <si>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</si>
  <si>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</si>
  <si>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</si>
  <si>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</si>
  <si>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</si>
  <si>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</si>
  <si>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</si>
  <si>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</si>
  <si>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</si>
  <si>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</si>
  <si>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</si>
  <si>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</si>
  <si>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</si>
  <si>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</si>
  <si>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</si>
  <si>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</si>
  <si>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</si>
  <si>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</si>
  <si>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</si>
  <si>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</si>
  <si>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</si>
  <si>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</si>
  <si>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</si>
  <si>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</si>
  <si>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</si>
  <si>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</si>
  <si>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</si>
  <si>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</si>
  <si>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</si>
  <si>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</si>
  <si>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</si>
  <si>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</si>
  <si>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</si>
  <si>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</si>
  <si>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</si>
  <si>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</si>
  <si>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</si>
  <si>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</si>
  <si>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</si>
  <si>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</si>
  <si>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</si>
  <si>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</si>
  <si>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</si>
  <si>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</si>
  <si>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</si>
  <si>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</si>
  <si>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</si>
  <si>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</si>
  <si>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</si>
  <si>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</si>
  <si>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</si>
  <si>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</si>
  <si>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</si>
  <si>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</si>
  <si>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</si>
  <si>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</si>
  <si>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</si>
  <si>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</si>
  <si>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</si>
  <si>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</si>
  <si>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</si>
  <si>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</si>
  <si>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</si>
  <si>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</si>
  <si>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</si>
  <si>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</si>
  <si>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</si>
  <si>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</si>
  <si>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</si>
  <si>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</si>
  <si>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</si>
  <si>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</si>
  <si>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</si>
  <si>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</si>
  <si>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</si>
  <si>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</si>
  <si>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</si>
  <si>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</si>
  <si>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</si>
  <si>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</si>
  <si>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</si>
  <si>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</si>
  <si>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</si>
  <si>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</si>
  <si>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</si>
  <si>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</si>
  <si>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</si>
  <si>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</si>
  <si>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</si>
  <si>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</si>
  <si>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</si>
  <si>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</si>
  <si>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</si>
  <si>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</si>
  <si>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</si>
  <si>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</si>
  <si>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</si>
  <si>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</si>
  <si>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</si>
  <si>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</si>
  <si>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</si>
  <si>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</si>
  <si>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</si>
  <si>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</si>
  <si>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</si>
  <si>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</si>
  <si>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</si>
  <si>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</si>
  <si>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</si>
  <si>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</si>
  <si>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</si>
  <si>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</si>
  <si>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</si>
  <si>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</si>
  <si>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</si>
  <si>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</si>
  <si>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</si>
  <si>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</si>
  <si>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</si>
  <si>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</si>
  <si>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</si>
  <si>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</si>
  <si>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</si>
  <si>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</si>
  <si>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</si>
  <si>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</si>
  <si>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</si>
  <si>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</si>
  <si>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</si>
  <si>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</si>
  <si>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</si>
  <si>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</si>
  <si>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</si>
  <si>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</si>
  <si>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</si>
  <si>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</si>
  <si>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</si>
  <si>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</si>
  <si>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</si>
  <si>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</si>
  <si>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</si>
  <si>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</si>
  <si>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</si>
  <si>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</si>
  <si>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</si>
  <si>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</si>
  <si>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</si>
  <si>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</si>
  <si>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</si>
  <si>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</si>
  <si>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</si>
  <si>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</si>
  <si>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</si>
  <si>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</si>
  <si>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</si>
  <si>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</si>
  <si>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</si>
  <si>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</si>
  <si>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</si>
  <si>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</si>
  <si>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</si>
  <si>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</si>
  <si>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</si>
  <si>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</si>
  <si>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</si>
  <si>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</si>
  <si>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</si>
  <si>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</si>
  <si>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</si>
  <si>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</si>
  <si>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</si>
  <si>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</si>
  <si>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</si>
  <si>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</si>
  <si>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</si>
  <si>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</si>
  <si>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</si>
  <si>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</si>
  <si>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</si>
  <si>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</si>
  <si>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</si>
  <si>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</si>
  <si>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</si>
  <si>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</si>
  <si>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</si>
  <si>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</si>
  <si>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</si>
  <si>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</si>
  <si>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</si>
  <si>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</si>
  <si>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</si>
  <si>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</si>
  <si>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</si>
  <si>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</si>
  <si>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</si>
  <si>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</si>
  <si>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</si>
  <si>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</si>
  <si>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</si>
  <si>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</si>
  <si>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</si>
  <si>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</si>
  <si>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</si>
  <si>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</si>
  <si>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</si>
  <si>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</si>
  <si>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</si>
  <si>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</si>
  <si>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</si>
  <si>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</si>
  <si>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</si>
  <si>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</si>
  <si>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</si>
  <si>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</si>
  <si>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</si>
  <si>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</si>
  <si>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</si>
  <si>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</si>
  <si>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</si>
  <si>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</si>
  <si>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</si>
  <si>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</si>
  <si>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</si>
  <si>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</si>
  <si>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</si>
  <si>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</si>
  <si>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</si>
  <si>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</si>
  <si>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</si>
  <si>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</si>
  <si>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</si>
  <si>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</si>
  <si>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</si>
  <si>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</si>
  <si>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</si>
  <si>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</si>
  <si>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</si>
  <si>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</si>
  <si>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</si>
  <si>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</si>
  <si>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</si>
  <si>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</si>
  <si>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</si>
  <si>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</si>
  <si>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</si>
  <si>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</si>
  <si>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</si>
  <si>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</si>
  <si>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</si>
  <si>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</si>
  <si>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</si>
  <si>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</si>
  <si>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</si>
  <si>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</si>
  <si>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</si>
  <si>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</si>
  <si>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</si>
  <si>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</si>
  <si>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</si>
  <si>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</si>
  <si>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</si>
  <si>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</si>
  <si>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</si>
  <si>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</si>
  <si>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</si>
  <si>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</si>
  <si>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</si>
  <si>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</si>
  <si>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</si>
  <si>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</si>
  <si>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</si>
  <si>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</si>
  <si>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</si>
  <si>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</si>
  <si>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</si>
  <si>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</si>
  <si>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</si>
  <si>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</si>
  <si>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</si>
  <si>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</si>
  <si>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</si>
  <si>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</si>
  <si>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</si>
  <si>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</si>
  <si>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</si>
  <si>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</si>
  <si>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</si>
  <si>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</si>
  <si>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</si>
  <si>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</si>
  <si>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</si>
  <si>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</si>
  <si>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</si>
  <si>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</si>
  <si>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</si>
  <si>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</si>
  <si>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</si>
  <si>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</si>
  <si>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</si>
  <si>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</si>
  <si>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</si>
  <si>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</si>
  <si>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</si>
  <si>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</si>
  <si>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</si>
  <si>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</si>
  <si>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</si>
  <si>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</si>
  <si>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</si>
  <si>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</si>
  <si>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</si>
  <si>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</si>
  <si>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</si>
  <si>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</si>
  <si>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</si>
  <si>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</si>
  <si>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</si>
  <si>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</si>
  <si>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</si>
  <si>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</si>
  <si>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</si>
  <si>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</si>
  <si>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</si>
  <si>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</si>
  <si>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</si>
  <si>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</si>
  <si>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</si>
  <si>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</si>
  <si>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</si>
  <si>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</si>
  <si>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</si>
  <si>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</si>
  <si>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</si>
  <si>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</si>
  <si>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</si>
  <si>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</si>
  <si>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</si>
  <si>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</si>
  <si>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</si>
  <si>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</si>
  <si>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</si>
  <si>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</si>
  <si>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</si>
  <si>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</si>
  <si>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</si>
  <si>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</si>
  <si>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</si>
  <si>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</si>
  <si>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</si>
  <si>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</si>
  <si>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</si>
  <si>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</si>
  <si>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</si>
  <si>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</si>
  <si>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</si>
  <si>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</si>
  <si>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</si>
  <si>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</si>
  <si>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</si>
  <si>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</si>
  <si>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</si>
  <si>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</si>
  <si>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</si>
  <si>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</si>
  <si>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</si>
  <si>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</si>
  <si>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</si>
  <si>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</si>
  <si>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</si>
  <si>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</si>
  <si>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</si>
  <si>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</si>
  <si>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</si>
  <si>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</si>
  <si>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</si>
  <si>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</si>
  <si>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</si>
  <si>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</si>
  <si>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</si>
  <si>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</si>
  <si>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</si>
  <si>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</si>
  <si>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</si>
  <si>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</si>
  <si>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</si>
  <si>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</si>
  <si>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</si>
  <si>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</si>
  <si>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</si>
  <si>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</si>
  <si>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</si>
  <si>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</si>
  <si>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</si>
  <si>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</si>
  <si>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</si>
  <si>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</si>
  <si>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</si>
  <si>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</si>
  <si>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</si>
  <si>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</si>
  <si>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</si>
  <si>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</si>
  <si>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</si>
  <si>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</si>
  <si>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</si>
  <si>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</si>
  <si>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</si>
  <si>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</si>
  <si>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</si>
  <si>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</si>
  <si>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</si>
  <si>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</si>
  <si>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</si>
  <si>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</si>
  <si>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</si>
  <si>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</si>
  <si>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</si>
  <si>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</si>
  <si>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</si>
  <si>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</si>
  <si>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</si>
  <si>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</si>
  <si>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</si>
  <si>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</si>
  <si>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</si>
  <si>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</si>
  <si>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</si>
  <si>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</si>
  <si>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</si>
  <si>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</si>
  <si>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</si>
  <si>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</si>
  <si>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</si>
  <si>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</si>
  <si>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</si>
  <si>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</si>
  <si>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</si>
  <si>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</si>
  <si>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</si>
  <si>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</si>
  <si>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</si>
  <si>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</si>
  <si>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</si>
  <si>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</si>
  <si>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</si>
  <si>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</si>
  <si>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</si>
  <si>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</si>
  <si>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</si>
  <si>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</si>
  <si>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</si>
  <si>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</si>
  <si>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</si>
  <si>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</si>
  <si>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</si>
  <si>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</si>
  <si>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</si>
  <si>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</si>
  <si>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</si>
  <si>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</si>
  <si>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</si>
  <si>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</si>
  <si>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</si>
  <si>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</si>
  <si>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</si>
  <si>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</si>
  <si>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</si>
  <si>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</si>
  <si>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</si>
  <si>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</si>
  <si>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</si>
  <si>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</si>
  <si>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</si>
  <si>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</si>
  <si>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</si>
  <si>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</si>
  <si>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</si>
  <si>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</si>
  <si>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</si>
  <si>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</si>
  <si>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</si>
  <si>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</si>
  <si>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</si>
  <si>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</si>
  <si>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</si>
  <si>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</si>
  <si>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</si>
  <si>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</si>
  <si>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</si>
  <si>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</si>
  <si>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</si>
  <si>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</si>
  <si>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</si>
  <si>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</si>
  <si>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</si>
  <si>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</si>
  <si>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</si>
  <si>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</si>
  <si>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</si>
  <si>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</si>
  <si>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</si>
  <si>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</si>
  <si>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</si>
  <si>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</si>
  <si>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</si>
  <si>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</si>
  <si>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</si>
  <si>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</si>
  <si>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</si>
  <si>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</si>
  <si>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</si>
  <si>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</si>
  <si>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</si>
  <si>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</si>
  <si>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</si>
  <si>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</si>
  <si>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</si>
  <si>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</si>
  <si>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</si>
  <si>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</si>
  <si>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</si>
  <si>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</si>
  <si>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</si>
  <si>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</si>
  <si>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</si>
  <si>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</si>
  <si>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</si>
  <si>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</si>
  <si>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</si>
  <si>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</si>
  <si>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</si>
  <si>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</si>
  <si>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</si>
  <si>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</si>
  <si>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</si>
  <si>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</si>
  <si>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</si>
  <si>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</si>
  <si>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</si>
  <si>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</si>
  <si>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</si>
  <si>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</si>
  <si>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</si>
  <si>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</si>
  <si>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</si>
  <si>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</si>
  <si>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</si>
  <si>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</si>
  <si>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</si>
  <si>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</si>
  <si>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</si>
  <si>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</si>
  <si>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</si>
  <si>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</si>
  <si>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</si>
  <si>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</si>
  <si>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</si>
  <si>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</si>
  <si>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</si>
  <si>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</si>
  <si>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</si>
  <si>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</si>
  <si>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</si>
  <si>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</si>
  <si>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</si>
  <si>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</si>
  <si>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</si>
  <si>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</si>
  <si>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</si>
  <si>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</si>
  <si>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</si>
  <si>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</si>
  <si>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</si>
  <si>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</si>
  <si>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</si>
  <si>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</si>
  <si>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</si>
  <si>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</si>
  <si>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</si>
  <si>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</si>
  <si>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</si>
  <si>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</si>
  <si>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</si>
  <si>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</si>
  <si>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</si>
  <si>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</si>
  <si>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</si>
  <si>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</si>
  <si>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</si>
  <si>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</si>
  <si>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</si>
  <si>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</si>
  <si>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</si>
  <si>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</si>
  <si>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</si>
  <si>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</si>
  <si>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</si>
  <si>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</si>
  <si>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</si>
  <si>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</si>
  <si>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</si>
  <si>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</si>
  <si>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</si>
  <si>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</si>
  <si>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</si>
  <si>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</si>
  <si>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</si>
  <si>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</si>
  <si>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</si>
  <si>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</si>
  <si>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</si>
  <si>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</si>
  <si>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</si>
  <si>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</si>
  <si>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</si>
  <si>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</si>
  <si>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</si>
  <si>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</si>
  <si>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</si>
  <si>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</si>
  <si>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</si>
  <si>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</si>
  <si>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</si>
  <si>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</si>
  <si>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</si>
  <si>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</si>
  <si>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</si>
  <si>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</si>
  <si>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</si>
  <si>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</si>
  <si>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</si>
  <si>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</si>
  <si>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</si>
  <si>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</si>
  <si>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</si>
  <si>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</si>
  <si>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</si>
  <si>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</si>
  <si>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</si>
  <si>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</si>
  <si>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</si>
  <si>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</si>
  <si>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</si>
  <si>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</si>
  <si>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</si>
  <si>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</si>
  <si>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</si>
  <si>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</si>
  <si>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</si>
  <si>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</si>
  <si>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</si>
  <si>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</si>
  <si>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</si>
  <si>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</si>
  <si>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</si>
  <si>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</si>
  <si>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</si>
  <si>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</si>
  <si>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</si>
  <si>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</si>
  <si>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</si>
  <si>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</si>
  <si>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</si>
  <si>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</si>
  <si>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</si>
  <si>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</si>
  <si>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</si>
  <si>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</si>
  <si>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</si>
  <si>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</si>
  <si>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</si>
  <si>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</si>
  <si>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</si>
  <si>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</si>
  <si>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</si>
  <si>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</si>
  <si>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</si>
  <si>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</si>
  <si>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</si>
  <si>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</si>
  <si>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</si>
  <si>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</si>
  <si>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</si>
  <si>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</si>
  <si>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</si>
  <si>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</si>
  <si>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</si>
  <si>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</si>
  <si>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</si>
  <si>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</si>
  <si>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</si>
  <si>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</si>
  <si>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</si>
  <si>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</si>
  <si>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</si>
  <si>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</si>
  <si>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</si>
  <si>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</si>
  <si>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</si>
  <si>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</si>
  <si>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</si>
  <si>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</si>
  <si>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</si>
  <si>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</si>
  <si>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</si>
  <si>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</si>
  <si>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</si>
  <si>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</si>
  <si>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</si>
  <si>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</si>
  <si>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</si>
  <si>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</si>
  <si>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</si>
  <si>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</si>
  <si>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</si>
  <si>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</si>
  <si>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</si>
  <si>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</si>
  <si>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</si>
  <si>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</si>
  <si>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</si>
  <si>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</si>
  <si>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</si>
  <si>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</si>
  <si>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</si>
  <si>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</si>
  <si>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</si>
  <si>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</si>
  <si>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</si>
  <si>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</si>
  <si>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</si>
  <si>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</si>
  <si>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</si>
  <si>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</si>
  <si>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</si>
  <si>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</si>
  <si>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</si>
  <si>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</si>
  <si>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</si>
  <si>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</si>
  <si>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</si>
  <si>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</si>
  <si>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</si>
  <si>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</si>
  <si>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</si>
  <si>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</si>
  <si>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</si>
  <si>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</si>
  <si>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</si>
  <si>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</si>
  <si>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</si>
  <si>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</si>
  <si>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</si>
  <si>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</si>
  <si>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</si>
  <si>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</si>
  <si>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</si>
  <si>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</si>
  <si>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</si>
  <si>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</si>
  <si>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</si>
  <si>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</si>
  <si>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</si>
  <si>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</si>
  <si>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</si>
  <si>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</si>
  <si>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</si>
  <si>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</si>
  <si>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</si>
  <si>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</si>
  <si>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</si>
  <si>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</si>
  <si>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</si>
  <si>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</si>
  <si>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</si>
  <si>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</si>
  <si>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</si>
  <si>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</si>
  <si>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</si>
  <si>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</si>
  <si>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</si>
  <si>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</si>
  <si>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</si>
  <si>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</si>
  <si>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</si>
  <si>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</si>
  <si>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</si>
  <si>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</si>
  <si>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</si>
  <si>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</si>
  <si>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</si>
  <si>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</si>
  <si>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</si>
  <si>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</si>
  <si>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</si>
  <si>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</si>
  <si>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</si>
  <si>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</si>
  <si>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</si>
  <si>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</si>
  <si>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</si>
  <si>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</si>
  <si>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</si>
  <si>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</si>
  <si>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</si>
  <si>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</si>
  <si>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</si>
  <si>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</si>
  <si>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</si>
  <si>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</si>
  <si>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</si>
  <si>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</si>
  <si>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</si>
  <si>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</si>
  <si>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</si>
  <si>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</si>
  <si>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</si>
  <si>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</si>
  <si>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</si>
  <si>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</si>
  <si>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</si>
  <si>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</si>
  <si>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</si>
  <si>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</si>
  <si>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</si>
  <si>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</si>
  <si>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</si>
  <si>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</si>
  <si>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</si>
  <si>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</si>
  <si>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</si>
  <si>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</si>
  <si>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</si>
  <si>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</si>
  <si>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</si>
  <si>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</si>
  <si>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</si>
  <si>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</si>
  <si>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</si>
  <si>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</si>
  <si>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</si>
  <si>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</si>
  <si>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</si>
  <si>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</si>
  <si>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</si>
  <si>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</si>
  <si>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</si>
  <si>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</si>
  <si>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</si>
  <si>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</si>
  <si>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</si>
  <si>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</si>
  <si>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</si>
  <si>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</si>
  <si>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</si>
  <si>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</si>
  <si>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</si>
  <si>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</si>
  <si>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</si>
  <si>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</si>
  <si>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</si>
  <si>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</si>
  <si>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</si>
  <si>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</si>
  <si>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</si>
  <si>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</si>
  <si>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</si>
  <si>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</si>
  <si>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</si>
  <si>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</si>
  <si>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</si>
  <si>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</si>
  <si>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</si>
  <si>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</si>
  <si>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</si>
  <si>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</si>
  <si>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</si>
  <si>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</si>
  <si>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</si>
  <si>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</si>
  <si>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</si>
  <si>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</si>
  <si>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</si>
  <si>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</si>
  <si>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</si>
  <si>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</si>
  <si>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</si>
  <si>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</si>
  <si>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</si>
  <si>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</si>
  <si>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</si>
  <si>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</si>
  <si>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</si>
  <si>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</si>
  <si>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</si>
  <si>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</si>
  <si>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</si>
  <si>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</si>
  <si>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</si>
  <si>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</si>
  <si>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</si>
  <si>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</si>
  <si>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</si>
  <si>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</si>
  <si>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</si>
  <si>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</si>
  <si>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</si>
  <si>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</si>
  <si>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</si>
  <si>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</si>
  <si>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</si>
  <si>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</si>
  <si>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</si>
  <si>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</si>
  <si>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</si>
  <si>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</si>
  <si>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</si>
  <si>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</si>
  <si>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</si>
  <si>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</si>
  <si>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</si>
  <si>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</si>
  <si>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</si>
  <si>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</si>
  <si>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</si>
  <si>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</si>
  <si>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</si>
  <si>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</si>
  <si>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</si>
  <si>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</si>
  <si>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</si>
  <si>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</si>
  <si>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</si>
  <si>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</si>
  <si>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</si>
  <si>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</si>
  <si>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</si>
  <si>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</si>
  <si>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</si>
  <si>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</si>
  <si>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</si>
  <si>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</si>
  <si>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</si>
  <si>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</si>
  <si>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</si>
  <si>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</si>
  <si>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</si>
  <si>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</si>
  <si>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</si>
  <si>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</si>
  <si>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</si>
  <si>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</si>
  <si>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</si>
  <si>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</si>
  <si>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</si>
  <si>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</si>
  <si>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</si>
  <si>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</si>
  <si>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</si>
  <si>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</si>
  <si>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</si>
  <si>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</si>
  <si>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</si>
  <si>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</si>
  <si>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</si>
  <si>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</si>
  <si>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</si>
  <si>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</si>
  <si>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</si>
  <si>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</si>
  <si>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</si>
  <si>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</si>
  <si>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</si>
  <si>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</si>
  <si>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</si>
  <si>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</si>
  <si>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</si>
  <si>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</si>
  <si>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</si>
  <si>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</si>
  <si>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</si>
  <si>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</si>
  <si>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</si>
  <si>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</si>
  <si>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</si>
  <si>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</si>
  <si>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</si>
  <si>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</si>
  <si>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</si>
  <si>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</si>
  <si>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</si>
  <si>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</si>
  <si>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</si>
  <si>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</si>
  <si>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</si>
  <si>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</si>
  <si>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</si>
  <si>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</si>
  <si>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</si>
  <si>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</si>
  <si>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</si>
  <si>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</si>
  <si>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</si>
  <si>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</si>
  <si>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</si>
  <si>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</si>
  <si>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</si>
  <si>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</si>
  <si>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</si>
  <si>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</si>
  <si>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</si>
  <si>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</si>
  <si>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</si>
  <si>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</si>
  <si>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</si>
  <si>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</si>
  <si>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</si>
  <si>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</si>
  <si>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</si>
  <si>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</si>
  <si>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</si>
  <si>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</si>
  <si>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</si>
  <si>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</si>
  <si>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</si>
  <si>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</si>
  <si>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</si>
  <si>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</si>
  <si>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</si>
  <si>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</si>
  <si>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</si>
  <si>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</si>
  <si>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</si>
  <si>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</si>
  <si>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</si>
  <si>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</si>
  <si>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</si>
  <si>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</si>
  <si>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</si>
  <si>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</si>
  <si>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</si>
  <si>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</si>
  <si>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</si>
  <si>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</si>
  <si>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</si>
  <si>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</si>
  <si>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</si>
  <si>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</si>
  <si>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</si>
  <si>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</si>
  <si>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</si>
  <si>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</si>
  <si>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</si>
  <si>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</si>
  <si>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</si>
  <si>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</si>
  <si>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</si>
  <si>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</si>
  <si>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</si>
  <si>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</si>
  <si>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</si>
  <si>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</si>
  <si>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</si>
  <si>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</si>
  <si>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</si>
  <si>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</si>
  <si>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</si>
  <si>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</si>
  <si>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</si>
  <si>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</si>
  <si>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</si>
  <si>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</si>
  <si>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</si>
  <si>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</si>
  <si>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</si>
  <si>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</si>
  <si>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</si>
  <si>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</si>
  <si>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</si>
  <si>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</si>
  <si>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</si>
  <si>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</si>
  <si>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</si>
  <si>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</si>
  <si>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</si>
  <si>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</si>
  <si>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</si>
  <si>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</si>
  <si>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</si>
  <si>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</si>
  <si>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</si>
  <si>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</si>
  <si>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</si>
  <si>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</si>
  <si>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</si>
  <si>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</si>
  <si>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</si>
  <si>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</si>
  <si>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</si>
  <si>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</si>
  <si>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</si>
  <si>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</si>
  <si>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</si>
  <si>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</si>
  <si>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</si>
  <si>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</si>
  <si>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</si>
  <si>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</si>
  <si>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</si>
  <si>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</si>
  <si>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</si>
  <si>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</si>
  <si>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</si>
  <si>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</si>
  <si>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</si>
  <si>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</si>
  <si>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</si>
  <si>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</si>
  <si>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</si>
  <si>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</si>
  <si>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</si>
  <si>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</si>
  <si>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</si>
  <si>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</si>
  <si>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</si>
  <si>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</si>
  <si>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</si>
  <si>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</si>
  <si>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</si>
  <si>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</si>
  <si>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</si>
  <si>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</si>
  <si>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</si>
  <si>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</si>
  <si>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</si>
  <si>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</si>
  <si>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</si>
  <si>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</si>
  <si>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</si>
  <si>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</si>
  <si>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</si>
  <si>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</si>
  <si>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</si>
  <si>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</si>
  <si>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</si>
  <si>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</si>
  <si>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</si>
  <si>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</si>
  <si>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</si>
  <si>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</si>
  <si>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</si>
  <si>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</si>
  <si>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</si>
  <si>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</si>
  <si>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</si>
  <si>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</si>
  <si>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</si>
  <si>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</si>
  <si>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</si>
  <si>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</si>
  <si>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</si>
  <si>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</si>
  <si>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</si>
  <si>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</si>
  <si>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</si>
  <si>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</si>
  <si>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</si>
  <si>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</si>
  <si>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</si>
  <si>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</si>
  <si>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</si>
  <si>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</si>
  <si>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</si>
  <si>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</si>
  <si>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</si>
  <si>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</si>
  <si>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</si>
  <si>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</si>
  <si>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</si>
  <si>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</si>
  <si>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</si>
  <si>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</si>
  <si>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</si>
  <si>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</si>
  <si>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</si>
  <si>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</si>
  <si>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</si>
  <si>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</si>
  <si>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</si>
  <si>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</si>
  <si>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</si>
  <si>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</si>
  <si>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</si>
  <si>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</si>
  <si>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</si>
  <si>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</si>
  <si>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</si>
  <si>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</si>
  <si>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</si>
  <si>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</si>
  <si>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</si>
  <si>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</si>
  <si>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</si>
  <si>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</si>
  <si>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</si>
  <si>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</si>
  <si>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</si>
  <si>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</si>
  <si>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</si>
  <si>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</si>
  <si>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</si>
  <si>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</si>
  <si>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</si>
  <si>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</si>
  <si>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</si>
  <si>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</si>
  <si>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</si>
  <si>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</si>
  <si>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</si>
  <si>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</si>
  <si>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</si>
  <si>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</si>
  <si>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</si>
  <si>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</si>
  <si>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</si>
  <si>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</si>
  <si>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</si>
  <si>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</si>
  <si>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</si>
  <si>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</si>
  <si>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</si>
  <si>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</si>
  <si>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</si>
  <si>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</si>
  <si>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</si>
  <si>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</si>
  <si>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</si>
  <si>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</si>
  <si>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</si>
  <si>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</si>
  <si>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</si>
  <si>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</si>
  <si>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</si>
  <si>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</si>
  <si>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</si>
  <si>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</si>
  <si>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</si>
  <si>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</si>
  <si>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</si>
  <si>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</si>
  <si>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</si>
  <si>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</si>
  <si>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</si>
  <si>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</si>
  <si>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</si>
  <si>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</si>
  <si>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</si>
  <si>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</si>
  <si>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</si>
  <si>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</si>
  <si>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</si>
  <si>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</si>
  <si>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</si>
  <si>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</si>
  <si>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</si>
  <si>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</si>
  <si>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</si>
  <si>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</si>
  <si>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</si>
  <si>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</si>
  <si>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</si>
  <si>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</si>
  <si>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</si>
  <si>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</si>
  <si>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</si>
  <si>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</si>
  <si>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</si>
  <si>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</si>
  <si>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</si>
  <si>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</si>
  <si>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</si>
  <si>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</si>
  <si>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</si>
  <si>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</si>
  <si>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</si>
  <si>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</si>
  <si>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</si>
  <si>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</si>
  <si>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</si>
  <si>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</si>
  <si>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</si>
  <si>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</si>
  <si>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</si>
  <si>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</si>
  <si>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</si>
  <si>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</si>
  <si>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</si>
  <si>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</si>
  <si>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</si>
  <si>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</si>
  <si>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</si>
  <si>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</si>
  <si>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</si>
  <si>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</si>
  <si>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</si>
  <si>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</si>
  <si>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</si>
  <si>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</si>
  <si>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</si>
  <si>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</si>
  <si>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</si>
  <si>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</si>
  <si>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</si>
  <si>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</si>
  <si>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</si>
  <si>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</si>
  <si>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</si>
  <si>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</si>
  <si>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</si>
  <si>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</si>
  <si>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</si>
  <si>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</si>
  <si>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</si>
  <si>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</si>
  <si>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</si>
  <si>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</si>
  <si>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</si>
  <si>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</si>
  <si>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</si>
  <si>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</si>
  <si>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</si>
  <si>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</si>
  <si>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</si>
  <si>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</si>
  <si>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</si>
  <si>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</si>
  <si>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</si>
  <si>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</si>
  <si>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</si>
  <si>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</si>
  <si>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</si>
  <si>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</si>
  <si>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</si>
  <si>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</si>
  <si>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</si>
  <si>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</si>
  <si>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</si>
  <si>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</si>
  <si>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</si>
  <si>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</si>
  <si>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</si>
  <si>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</si>
  <si>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</si>
  <si>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</si>
  <si>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</si>
  <si>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</si>
  <si>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</si>
  <si>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</si>
  <si>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</si>
  <si>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</si>
  <si>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</si>
  <si>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</si>
  <si>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</si>
  <si>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</si>
  <si>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</si>
  <si>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</si>
  <si>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</si>
  <si>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</si>
  <si>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</si>
  <si>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</si>
  <si>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</si>
  <si>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</si>
  <si>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</si>
  <si>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</si>
  <si>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</si>
  <si>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</si>
  <si>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</si>
  <si>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</si>
  <si>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</si>
  <si>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</si>
  <si>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</si>
  <si>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</si>
  <si>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</si>
  <si>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</si>
  <si>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</si>
  <si>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</si>
  <si>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</si>
  <si>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</si>
  <si>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</si>
  <si>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</si>
  <si>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</si>
  <si>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</si>
  <si>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</si>
  <si>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</si>
  <si>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</si>
  <si>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</si>
  <si>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</si>
  <si>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</si>
  <si>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</si>
  <si>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</si>
  <si>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</si>
  <si>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</si>
  <si>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</si>
  <si>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</si>
  <si>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</si>
  <si>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</si>
  <si>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</si>
  <si>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</si>
  <si>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</si>
  <si>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</si>
  <si>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</si>
  <si>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</si>
  <si>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</si>
  <si>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</si>
  <si>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</si>
  <si>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</si>
  <si>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</si>
  <si>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</si>
  <si>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</si>
  <si>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</si>
  <si>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</si>
  <si>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</si>
  <si>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</si>
  <si>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</si>
  <si>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</si>
  <si>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</si>
  <si>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</si>
  <si>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</si>
  <si>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</si>
  <si>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</si>
  <si>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</si>
  <si>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</si>
  <si>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</si>
  <si>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</si>
  <si>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</si>
  <si>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</si>
  <si>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</si>
  <si>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</si>
  <si>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</si>
  <si>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</si>
  <si>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</si>
  <si>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</si>
  <si>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</si>
  <si>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</si>
  <si>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</si>
  <si>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</si>
  <si>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</si>
  <si>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</si>
  <si>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</si>
  <si>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</si>
  <si>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</si>
  <si>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</si>
  <si>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</si>
  <si>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</si>
  <si>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</si>
  <si>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</si>
  <si>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</si>
  <si>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</si>
  <si>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</si>
  <si>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</si>
  <si>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</si>
  <si>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</si>
  <si>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</si>
  <si>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</si>
  <si>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</si>
  <si>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</si>
  <si>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</si>
  <si>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</si>
  <si>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</si>
  <si>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</si>
  <si>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</si>
  <si>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</si>
  <si>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</si>
  <si>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</si>
  <si>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</si>
  <si>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</si>
  <si>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</si>
  <si>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</si>
  <si>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</si>
  <si>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</si>
  <si>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</si>
  <si>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</si>
  <si>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</si>
  <si>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</si>
  <si>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</si>
  <si>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</si>
  <si>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</si>
  <si>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</si>
  <si>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</si>
  <si>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</si>
  <si>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</si>
  <si>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</si>
  <si>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</si>
  <si>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</si>
  <si>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</si>
  <si>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</si>
  <si>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</si>
  <si>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</si>
  <si>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</si>
  <si>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</si>
  <si>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</si>
  <si>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</si>
  <si>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</si>
  <si>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</si>
  <si>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</si>
  <si>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</si>
  <si>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</si>
  <si>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</si>
  <si>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</si>
  <si>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</si>
  <si>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</si>
  <si>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</si>
  <si>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</si>
  <si>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</si>
  <si>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</si>
  <si>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</si>
  <si>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</si>
  <si>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</si>
  <si>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</si>
  <si>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</si>
  <si>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</si>
  <si>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</si>
  <si>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</si>
  <si>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</si>
  <si>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</si>
  <si>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</si>
  <si>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</si>
  <si>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</si>
  <si>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</si>
  <si>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</si>
  <si>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</si>
  <si>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</si>
  <si>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</si>
  <si>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</si>
  <si>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</si>
  <si>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</si>
  <si>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</si>
  <si>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</si>
  <si>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</si>
  <si>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</si>
  <si>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</si>
  <si>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</si>
  <si>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</si>
  <si>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</si>
  <si>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</si>
  <si>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</si>
  <si>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</si>
  <si>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</si>
  <si>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</si>
  <si>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</si>
  <si>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</si>
  <si>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</si>
  <si>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</si>
  <si>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</si>
  <si>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</si>
  <si>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</si>
  <si>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</si>
  <si>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</si>
  <si>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</si>
  <si>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</si>
  <si>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</si>
  <si>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</si>
  <si>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</si>
  <si>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</si>
  <si>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</si>
  <si>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</si>
  <si>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</si>
  <si>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</si>
  <si>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</si>
  <si>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</si>
  <si>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</si>
  <si>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</si>
  <si>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</si>
  <si>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</si>
  <si>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</si>
  <si>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</si>
  <si>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</si>
  <si>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</si>
  <si>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</si>
  <si>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</si>
  <si>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</si>
  <si>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</si>
  <si>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</si>
  <si>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</si>
  <si>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</si>
  <si>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</si>
  <si>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</si>
  <si>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</si>
  <si>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</si>
  <si>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</si>
  <si>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</si>
  <si>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</si>
  <si>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</si>
  <si>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</si>
  <si>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</si>
  <si>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</si>
  <si>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</si>
  <si>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</si>
  <si>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</si>
  <si>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</si>
  <si>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</si>
  <si>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</si>
  <si>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</si>
  <si>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</si>
  <si>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</si>
  <si>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</si>
  <si>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</si>
  <si>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</si>
  <si>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</si>
  <si>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</si>
  <si>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</si>
  <si>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</si>
  <si>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</si>
  <si>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</si>
  <si>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</si>
  <si>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</si>
  <si>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</si>
  <si>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</si>
  <si>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</si>
  <si>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</si>
  <si>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</si>
  <si>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</si>
  <si>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</si>
  <si>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</si>
  <si>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</si>
  <si>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</si>
  <si>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</si>
  <si>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</si>
  <si>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</si>
  <si>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</si>
  <si>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</si>
  <si>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</si>
  <si>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</si>
  <si>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</si>
  <si>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</si>
  <si>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</si>
  <si>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</si>
  <si>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</si>
  <si>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</si>
  <si>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</si>
  <si>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</si>
  <si>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</si>
  <si>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</si>
  <si>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</si>
  <si>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</si>
  <si>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</si>
  <si>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</si>
  <si>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</si>
  <si>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</si>
  <si>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</si>
  <si>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</si>
  <si>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</si>
  <si>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</si>
  <si>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</si>
  <si>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</si>
  <si>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</si>
  <si>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</si>
  <si>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</si>
  <si>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</si>
  <si>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</si>
  <si>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</si>
  <si>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</si>
  <si>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</si>
  <si>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</si>
  <si>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</si>
  <si>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</si>
  <si>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</si>
  <si>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</si>
  <si>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</si>
  <si>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</si>
  <si>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</si>
  <si>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</si>
  <si>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</si>
  <si>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</si>
  <si>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</si>
  <si>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</si>
  <si>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</si>
  <si>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</si>
  <si>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</si>
  <si>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</si>
  <si>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</si>
  <si>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</si>
  <si>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</si>
  <si>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</si>
  <si>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</si>
  <si>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</si>
  <si>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</si>
  <si>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</si>
  <si>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</si>
  <si>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</si>
  <si>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</si>
  <si>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</si>
  <si>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</si>
  <si>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</si>
  <si>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</si>
  <si>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</si>
  <si>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</si>
  <si>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</si>
  <si>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</si>
  <si>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</si>
  <si>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</si>
  <si>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</si>
  <si>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</si>
  <si>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</si>
  <si>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</si>
  <si>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</si>
  <si>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</si>
  <si>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</si>
  <si>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</si>
  <si>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</si>
  <si>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</si>
  <si>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</si>
  <si>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</si>
  <si>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</si>
  <si>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</si>
  <si>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</si>
  <si>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</si>
  <si>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</si>
  <si>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</si>
  <si>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</si>
  <si>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</si>
  <si>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</si>
  <si>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</si>
  <si>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</si>
  <si>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</si>
  <si>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</si>
  <si>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</si>
  <si>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</si>
  <si>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</si>
  <si>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</si>
  <si>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</si>
  <si>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</si>
  <si>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</si>
  <si>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</si>
  <si>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</si>
  <si>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</si>
  <si>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</si>
  <si>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</si>
  <si>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</si>
  <si>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</si>
  <si>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</si>
  <si>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</si>
  <si>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</si>
  <si>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</si>
  <si>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</si>
  <si>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</si>
  <si>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</si>
  <si>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</si>
  <si>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</si>
  <si>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</si>
  <si>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</si>
  <si>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</si>
  <si>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</si>
  <si>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</si>
  <si>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</si>
  <si>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</si>
  <si>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</si>
  <si>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</si>
  <si>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</si>
  <si>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</si>
  <si>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</si>
  <si>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</si>
  <si>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</si>
  <si>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</si>
  <si>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</si>
  <si>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</si>
  <si>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</si>
  <si>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</si>
  <si>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</si>
  <si>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</si>
  <si>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</si>
  <si>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</si>
  <si>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</si>
  <si>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</si>
  <si>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</si>
  <si>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</si>
  <si>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</si>
  <si>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</si>
  <si>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</si>
  <si>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</si>
  <si>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</si>
  <si>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</si>
  <si>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</si>
  <si>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</si>
  <si>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</si>
  <si>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</si>
  <si>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</si>
  <si>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</si>
  <si>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</si>
  <si>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</si>
  <si>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</si>
  <si>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</si>
  <si>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</si>
  <si>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</si>
  <si>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</si>
  <si>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</si>
  <si>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</si>
  <si>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</si>
  <si>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</si>
  <si>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</si>
  <si>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</si>
  <si>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</si>
  <si>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</si>
  <si>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</si>
  <si>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</si>
  <si>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</si>
  <si>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</si>
  <si>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</si>
  <si>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</si>
  <si>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</si>
  <si>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</si>
  <si>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</si>
  <si>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</si>
  <si>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</si>
  <si>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</si>
  <si>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</si>
  <si>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</si>
  <si>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</si>
  <si>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</si>
  <si>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</si>
  <si>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</si>
  <si>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</si>
  <si>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</si>
  <si>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</si>
  <si>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</si>
  <si>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</si>
  <si>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</si>
  <si>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</si>
  <si>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</si>
  <si>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</si>
  <si>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</si>
  <si>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</si>
  <si>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</si>
  <si>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</si>
  <si>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</si>
  <si>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</si>
  <si>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</si>
  <si>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</si>
  <si>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</si>
  <si>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</si>
  <si>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</si>
  <si>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</si>
  <si>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</si>
  <si>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</si>
  <si>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</si>
  <si>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</si>
  <si>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</si>
  <si>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</si>
  <si>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</si>
  <si>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</si>
  <si>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</si>
  <si>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</si>
  <si>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</si>
  <si>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</si>
  <si>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</si>
  <si>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</si>
  <si>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</si>
  <si>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</si>
  <si>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</si>
  <si>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</si>
  <si>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</si>
  <si>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</si>
  <si>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</si>
  <si>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</si>
  <si>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</si>
  <si>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</si>
  <si>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</si>
  <si>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</si>
  <si>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</si>
  <si>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</si>
  <si>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</si>
  <si>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</si>
  <si>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</si>
  <si>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</si>
  <si>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</si>
  <si>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</si>
  <si>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</si>
  <si>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</si>
  <si>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</si>
  <si>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</si>
  <si>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</si>
  <si>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</si>
  <si>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</si>
  <si>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</si>
  <si>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</si>
  <si>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</si>
  <si>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</si>
  <si>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</si>
  <si>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</si>
  <si>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</si>
  <si>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</si>
  <si>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</si>
  <si>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</si>
  <si>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</si>
  <si>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</si>
  <si>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</si>
  <si>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</si>
  <si>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</si>
  <si>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</si>
  <si>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</si>
  <si>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</si>
  <si>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</si>
  <si>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</si>
  <si>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</si>
  <si>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</si>
  <si>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</si>
  <si>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</si>
  <si>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</si>
  <si>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</si>
  <si>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</si>
  <si>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</si>
  <si>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</si>
  <si>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</si>
  <si>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</si>
  <si>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</si>
  <si>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</si>
  <si>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</si>
  <si>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</si>
  <si>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</si>
  <si>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</si>
  <si>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</si>
  <si>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</si>
  <si>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</si>
  <si>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</si>
  <si>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</si>
  <si>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</si>
  <si>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</si>
  <si>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</si>
  <si>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</si>
  <si>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</si>
  <si>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</si>
  <si>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</si>
  <si>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</si>
  <si>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</si>
  <si>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</si>
  <si>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</si>
  <si>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</si>
  <si>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</si>
  <si>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</si>
  <si>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</si>
  <si>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</si>
  <si>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</si>
  <si>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</si>
  <si>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</si>
  <si>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</si>
  <si>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</si>
  <si>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</si>
  <si>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</si>
  <si>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</si>
  <si>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</si>
  <si>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</si>
  <si>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</si>
  <si>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</si>
  <si>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</si>
  <si>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</si>
  <si>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</si>
  <si>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</si>
  <si>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</si>
  <si>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</si>
  <si>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</si>
  <si>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</si>
  <si>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</si>
  <si>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</si>
  <si>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</si>
  <si>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</si>
  <si>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</si>
  <si>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</si>
  <si>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</si>
  <si>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</si>
  <si>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</si>
  <si>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</si>
  <si>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</si>
  <si>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</si>
  <si>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</si>
  <si>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</si>
  <si>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</si>
  <si>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</si>
  <si>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</si>
  <si>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</si>
  <si>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</si>
  <si>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</si>
  <si>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</si>
  <si>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</si>
  <si>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</si>
  <si>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</si>
  <si>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</si>
  <si>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</si>
  <si>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</si>
  <si>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</si>
  <si>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</si>
  <si>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</si>
  <si>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</si>
  <si>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</si>
  <si>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</si>
  <si>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</si>
  <si>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</si>
  <si>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</si>
  <si>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</si>
  <si>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</si>
  <si>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</si>
  <si>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</si>
  <si>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</si>
  <si>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</si>
  <si>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</si>
  <si>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</si>
  <si>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</si>
  <si>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</si>
  <si>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</si>
  <si>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</si>
  <si>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</si>
  <si>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</si>
  <si>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</si>
  <si>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</si>
  <si>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</si>
  <si>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</si>
  <si>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</si>
  <si>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</si>
  <si>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</si>
  <si>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</si>
  <si>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</si>
  <si>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</si>
  <si>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</si>
  <si>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</si>
  <si>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</si>
  <si>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</si>
  <si>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</si>
  <si>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</si>
  <si>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</si>
  <si>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</si>
  <si>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</si>
  <si>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</si>
  <si>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</si>
  <si>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</si>
  <si>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</si>
  <si>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</si>
  <si>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</si>
  <si>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</si>
  <si>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</si>
  <si>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</si>
  <si>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</si>
  <si>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</si>
  <si>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</si>
  <si>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</si>
  <si>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</si>
  <si>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</si>
  <si>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</si>
  <si>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</si>
  <si>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</si>
  <si>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</si>
  <si>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</si>
  <si>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</si>
  <si>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</si>
  <si>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</si>
  <si>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</si>
  <si>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</si>
  <si>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</si>
  <si>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</si>
  <si>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</si>
  <si>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</si>
  <si>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</si>
  <si>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</si>
  <si>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</si>
  <si>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</si>
  <si>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</si>
  <si>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</si>
  <si>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</si>
  <si>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</si>
  <si>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</si>
  <si>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</si>
  <si>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</si>
  <si>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</si>
  <si>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</si>
  <si>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</si>
  <si>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</si>
  <si>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</si>
  <si>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</si>
  <si>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</si>
  <si>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</si>
  <si>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</si>
  <si>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</si>
  <si>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</si>
  <si>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</si>
  <si>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</si>
  <si>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</si>
  <si>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</si>
  <si>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</si>
  <si>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</si>
  <si>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</si>
  <si>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</si>
  <si>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</si>
  <si>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</si>
  <si>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</si>
  <si>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</si>
  <si>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</si>
  <si>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</si>
  <si>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</si>
  <si>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</si>
  <si>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</si>
  <si>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</si>
  <si>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</si>
  <si>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</si>
  <si>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</si>
  <si>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</si>
  <si>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</si>
  <si>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</si>
  <si>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</si>
  <si>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</si>
  <si>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</si>
  <si>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</si>
  <si>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</si>
  <si>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</si>
  <si>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</si>
  <si>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</si>
  <si>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</si>
  <si>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</si>
  <si>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</si>
  <si>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</si>
  <si>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</si>
  <si>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</si>
  <si>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</si>
  <si>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</si>
  <si>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</si>
  <si>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</si>
  <si>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</si>
  <si>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</si>
  <si>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</si>
  <si>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</si>
  <si>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</si>
  <si>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</si>
  <si>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</si>
  <si>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</si>
  <si>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</si>
  <si>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</si>
  <si>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</si>
  <si>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</si>
  <si>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</si>
  <si>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</si>
  <si>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</si>
  <si>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</si>
  <si>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</si>
  <si>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</si>
  <si>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</si>
  <si>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</si>
  <si>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</si>
  <si>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</si>
  <si>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</si>
  <si>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</si>
  <si>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</si>
  <si>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</si>
  <si>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</si>
  <si>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</si>
  <si>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</si>
  <si>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</si>
  <si>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</si>
  <si>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</si>
  <si>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</si>
  <si>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</si>
  <si>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</si>
  <si>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</si>
  <si>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</si>
  <si>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</si>
  <si>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</si>
  <si>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</si>
  <si>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</si>
  <si>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</si>
  <si>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</si>
  <si>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</si>
  <si>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</si>
  <si>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</si>
  <si>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</si>
  <si>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</si>
  <si>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</si>
  <si>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</si>
  <si>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</si>
  <si>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</si>
  <si>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</si>
  <si>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</si>
  <si>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</si>
  <si>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</si>
  <si>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</si>
  <si>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</si>
  <si>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</si>
  <si>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</si>
  <si>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</si>
  <si>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</si>
  <si>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</si>
  <si>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</si>
  <si>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</si>
  <si>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</si>
  <si>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</si>
  <si>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</si>
  <si>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</si>
  <si>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</si>
  <si>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</si>
  <si>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</si>
  <si>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</si>
  <si>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</si>
  <si>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</si>
  <si>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</si>
  <si>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</si>
  <si>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</si>
  <si>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</si>
  <si>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</si>
  <si>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</si>
  <si>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</si>
  <si>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</si>
  <si>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</si>
  <si>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</si>
  <si>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</si>
  <si>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</si>
  <si>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</si>
  <si>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</si>
  <si>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</si>
  <si>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</si>
  <si>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</si>
  <si>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</si>
  <si>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</si>
  <si>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</si>
  <si>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</si>
  <si>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</si>
  <si>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</si>
  <si>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</si>
  <si>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</si>
  <si>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</si>
  <si>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</si>
  <si>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</si>
  <si>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</si>
  <si>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</si>
  <si>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</si>
  <si>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</si>
  <si>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</si>
  <si>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</si>
  <si>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</si>
  <si>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</si>
  <si>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</si>
  <si>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</si>
  <si>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</si>
  <si>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</si>
  <si>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</si>
  <si>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</si>
  <si>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</si>
  <si>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</si>
  <si>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</si>
  <si>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</si>
  <si>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</si>
  <si>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</si>
  <si>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</si>
  <si>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</si>
  <si>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</si>
  <si>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</si>
  <si>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</si>
  <si>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</si>
  <si>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</si>
  <si>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</si>
  <si>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</si>
  <si>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</si>
  <si>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</si>
  <si>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</si>
  <si>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</si>
  <si>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</si>
  <si>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</si>
  <si>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</si>
  <si>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</si>
  <si>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</si>
  <si>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</si>
  <si>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</si>
  <si>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</si>
  <si>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</si>
  <si>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</si>
  <si>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</si>
  <si>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</si>
  <si>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</si>
  <si>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</si>
  <si>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</si>
  <si>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</si>
  <si>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</si>
  <si>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</si>
  <si>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</si>
  <si>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</si>
  <si>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</si>
  <si>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</si>
  <si>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</si>
  <si>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</si>
  <si>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</si>
  <si>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</si>
  <si>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</si>
  <si>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</si>
  <si>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</si>
  <si>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</si>
  <si>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</si>
  <si>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</si>
  <si>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</si>
  <si>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</si>
  <si>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</si>
  <si>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</si>
  <si>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</si>
  <si>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</si>
  <si>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</si>
  <si>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</si>
  <si>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</si>
  <si>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</si>
  <si>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</si>
  <si>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</si>
  <si>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</si>
  <si>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</si>
  <si>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</si>
  <si>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</si>
  <si>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</si>
  <si>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</si>
  <si>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</si>
  <si>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</si>
  <si>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</si>
  <si>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</si>
  <si>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</si>
  <si>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</si>
  <si>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</si>
  <si>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</si>
  <si>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</si>
  <si>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</si>
  <si>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</si>
  <si>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</si>
  <si>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</si>
  <si>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</si>
  <si>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</si>
  <si>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</si>
  <si>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</si>
  <si>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</si>
  <si>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</si>
  <si>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</si>
  <si>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</si>
  <si>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</si>
  <si>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</si>
  <si>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</si>
  <si>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</si>
  <si>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</si>
  <si>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</si>
  <si>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</si>
  <si>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</si>
  <si>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</si>
  <si>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</si>
  <si>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</si>
  <si>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</si>
  <si>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</si>
  <si>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</si>
  <si>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</si>
  <si>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</si>
  <si>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</si>
  <si>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</si>
  <si>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</si>
  <si>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</si>
  <si>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</si>
  <si>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</si>
  <si>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</si>
  <si>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</si>
  <si>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</si>
  <si>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</si>
  <si>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</si>
  <si>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</si>
  <si>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</si>
  <si>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</si>
  <si>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</si>
  <si>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</si>
  <si>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</si>
  <si>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</si>
  <si>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</si>
  <si>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</si>
  <si>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</si>
  <si>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</si>
  <si>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</si>
  <si>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</si>
  <si>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</si>
  <si>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</si>
  <si>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</si>
  <si>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</si>
  <si>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</si>
  <si>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</si>
  <si>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</si>
  <si>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</si>
  <si>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</si>
  <si>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</si>
  <si>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</si>
  <si>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</si>
  <si>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</si>
  <si>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</si>
  <si>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</si>
  <si>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</si>
  <si>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</si>
  <si>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</si>
  <si>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</si>
  <si>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</si>
  <si>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</si>
  <si>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</si>
  <si>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</si>
  <si>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</si>
  <si>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</si>
  <si>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</si>
  <si>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</si>
  <si>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</si>
  <si>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</si>
  <si>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</si>
  <si>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</si>
  <si>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</si>
  <si>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</si>
  <si>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</si>
  <si>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</si>
  <si>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</si>
  <si>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</si>
  <si>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</si>
  <si>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</si>
  <si>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</si>
  <si>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</si>
  <si>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</si>
  <si>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</si>
  <si>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</si>
  <si>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</si>
  <si>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</si>
  <si>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</si>
  <si>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</si>
  <si>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</si>
  <si>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</si>
  <si>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</si>
  <si>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</si>
  <si>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</si>
  <si>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</si>
  <si>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</si>
  <si>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</si>
  <si>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</si>
  <si>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</si>
  <si>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</si>
  <si>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</si>
  <si>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</si>
  <si>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</si>
  <si>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</si>
  <si>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</si>
  <si>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</si>
  <si>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</si>
  <si>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</si>
  <si>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</si>
  <si>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</si>
  <si>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</si>
  <si>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</si>
  <si>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</si>
  <si>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</si>
  <si>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</si>
  <si>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</si>
  <si>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</si>
  <si>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</si>
  <si>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</si>
  <si>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</si>
  <si>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</si>
  <si>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</si>
  <si>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</si>
  <si>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</si>
  <si>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</si>
  <si>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</si>
  <si>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</si>
  <si>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</si>
  <si>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</si>
  <si>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</si>
  <si>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</si>
  <si>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</si>
  <si>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</si>
  <si>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</si>
  <si>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</si>
  <si>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</si>
  <si>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</si>
  <si>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</si>
  <si>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</si>
  <si>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</si>
  <si>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</si>
  <si>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</si>
  <si>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</si>
  <si>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</si>
  <si>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</si>
  <si>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</si>
  <si>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</si>
  <si>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</si>
  <si>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</si>
  <si>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</si>
  <si>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</si>
  <si>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</si>
  <si>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</si>
  <si>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</si>
  <si>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</si>
  <si>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</si>
  <si>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</si>
  <si>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</si>
  <si>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</si>
  <si>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</si>
  <si>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</si>
  <si>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</si>
  <si>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</si>
  <si>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</si>
  <si>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</si>
  <si>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</si>
  <si>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</si>
  <si>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</si>
  <si>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</si>
  <si>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</si>
  <si>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</si>
  <si>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</si>
  <si>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</si>
  <si>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</si>
  <si>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</si>
  <si>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</si>
  <si>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</si>
  <si>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</si>
  <si>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</si>
  <si>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</si>
  <si>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</si>
  <si>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</si>
  <si>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</si>
  <si>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</si>
  <si>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</si>
  <si>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</si>
  <si>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</si>
  <si>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</si>
  <si>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</si>
  <si>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</si>
  <si>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</si>
  <si>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</si>
  <si>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</si>
  <si>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</si>
  <si>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</si>
  <si>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</si>
  <si>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</si>
  <si>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</si>
  <si>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</si>
  <si>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</si>
  <si>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</si>
  <si>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</si>
  <si>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</si>
  <si>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</si>
  <si>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</si>
  <si>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</si>
  <si>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</si>
  <si>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</si>
  <si>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</si>
  <si>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</si>
  <si>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</si>
  <si>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</si>
  <si>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</si>
  <si>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</si>
  <si>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</si>
  <si>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</si>
  <si>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</si>
  <si>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</si>
  <si>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</si>
  <si>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</si>
  <si>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</si>
  <si>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</si>
  <si>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</si>
  <si>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</si>
  <si>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</si>
  <si>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</si>
  <si>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</si>
  <si>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</si>
  <si>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</si>
  <si>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</si>
  <si>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</si>
  <si>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</si>
  <si>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</si>
  <si>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</si>
  <si>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</si>
  <si>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</si>
  <si>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</si>
  <si>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</si>
  <si>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</si>
  <si>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</si>
  <si>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</si>
  <si>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</si>
  <si>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</si>
  <si>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</si>
  <si>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</si>
  <si>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</si>
  <si>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</si>
  <si>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</si>
  <si>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</si>
  <si>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</si>
  <si>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</si>
  <si>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</si>
  <si>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</si>
  <si>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</si>
  <si>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</si>
  <si>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</si>
  <si>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</si>
  <si>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</si>
  <si>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</si>
  <si>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</si>
  <si>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</si>
  <si>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</si>
  <si>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</si>
  <si>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</si>
  <si>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</si>
  <si>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</si>
  <si>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</si>
  <si>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</si>
  <si>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</si>
  <si>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</si>
  <si>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</si>
  <si>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</si>
  <si>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</si>
  <si>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</si>
  <si>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</si>
  <si>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</si>
  <si>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</si>
  <si>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</si>
  <si>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</si>
  <si>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</si>
  <si>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</si>
  <si>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</si>
  <si>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</si>
  <si>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</si>
  <si>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</si>
  <si>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</si>
  <si>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</si>
  <si>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</si>
  <si>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</si>
  <si>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</si>
  <si>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</si>
  <si>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</si>
  <si>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</si>
  <si>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</si>
  <si>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</si>
  <si>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</si>
  <si>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</si>
  <si>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</si>
  <si>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</si>
  <si>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</si>
  <si>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</si>
  <si>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</si>
  <si>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</si>
  <si>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</si>
  <si>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</si>
  <si>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</si>
  <si>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</si>
  <si>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</si>
  <si>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</si>
  <si>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</si>
  <si>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</si>
  <si>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</si>
  <si>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</si>
  <si>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</si>
  <si>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</si>
  <si>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</si>
  <si>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</si>
  <si>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</si>
  <si>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</si>
  <si>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</si>
  <si>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</si>
  <si>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</si>
  <si>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</si>
  <si>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</si>
  <si>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</si>
  <si>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</si>
  <si>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</si>
  <si>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</si>
  <si>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</si>
  <si>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</si>
  <si>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</si>
  <si>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</si>
  <si>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</si>
  <si>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</si>
  <si>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</si>
  <si>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</si>
  <si>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</si>
  <si>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</si>
  <si>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</si>
  <si>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</si>
  <si>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</si>
  <si>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</si>
  <si>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</si>
  <si>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</si>
  <si>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</si>
  <si>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</si>
  <si>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</si>
  <si>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</si>
  <si>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</si>
  <si>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</si>
  <si>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</si>
  <si>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</si>
  <si>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</si>
  <si>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</si>
  <si>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</si>
  <si>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</si>
  <si>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</si>
  <si>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</si>
  <si>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</si>
  <si>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</si>
  <si>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</si>
  <si>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</si>
  <si>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</si>
  <si>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</si>
  <si>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</si>
  <si>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</si>
  <si>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</si>
  <si>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</si>
  <si>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</si>
  <si>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</si>
  <si>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</si>
  <si>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</si>
  <si>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</si>
  <si>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</si>
  <si>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</si>
  <si>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</si>
  <si>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</si>
  <si>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</si>
  <si>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</si>
  <si>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</si>
  <si>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</si>
  <si>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</si>
  <si>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</si>
  <si>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</si>
  <si>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</si>
  <si>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</si>
  <si>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</si>
  <si>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</si>
  <si>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</si>
  <si>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</si>
  <si>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</si>
  <si>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</si>
  <si>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</si>
  <si>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</si>
  <si>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</si>
  <si>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</si>
  <si>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</si>
  <si>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</si>
  <si>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</si>
  <si>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</si>
  <si>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</si>
  <si>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</si>
  <si>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</si>
  <si>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</si>
  <si>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</si>
  <si>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</si>
  <si>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</si>
  <si>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</si>
  <si>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</si>
  <si>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</si>
  <si>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</si>
  <si>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</si>
  <si>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</si>
  <si>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</si>
  <si>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</si>
  <si>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</si>
  <si>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</si>
  <si>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</si>
  <si>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</si>
  <si>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</si>
  <si>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</si>
  <si>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</si>
  <si>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</si>
  <si>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</si>
  <si>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</si>
  <si>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</si>
  <si>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</si>
  <si>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</si>
  <si>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</si>
  <si>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</si>
  <si>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</si>
  <si>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</si>
  <si>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</si>
  <si>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</si>
  <si>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</si>
  <si>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</si>
  <si>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</si>
  <si>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</si>
  <si>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</si>
  <si>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</si>
  <si>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</si>
  <si>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</si>
  <si>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</si>
  <si>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</si>
  <si>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</si>
  <si>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</si>
  <si>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</si>
  <si>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</si>
  <si>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</si>
  <si>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</si>
  <si>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</si>
  <si>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</si>
  <si>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</si>
  <si>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</si>
  <si>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</si>
  <si>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</si>
  <si>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</si>
  <si>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</si>
  <si>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</si>
  <si>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</si>
  <si>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</si>
  <si>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</si>
  <si>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</si>
  <si>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</si>
  <si>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</si>
  <si>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</si>
  <si>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</si>
  <si>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</si>
  <si>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</si>
  <si>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</si>
  <si>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</si>
  <si>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</si>
  <si>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</si>
  <si>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</si>
  <si>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</si>
  <si>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</si>
  <si>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</si>
  <si>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</si>
  <si>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</si>
  <si>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</si>
  <si>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</si>
  <si>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</si>
  <si>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</si>
  <si>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</si>
  <si>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</si>
  <si>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</si>
  <si>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</si>
  <si>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</si>
  <si>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</si>
  <si>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</si>
  <si>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</si>
  <si>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</si>
  <si>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</si>
  <si>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</si>
  <si>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</si>
  <si>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</si>
  <si>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</si>
  <si>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</si>
  <si>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</si>
  <si>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</si>
  <si>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</si>
  <si>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</si>
  <si>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</si>
  <si>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</si>
  <si>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</si>
  <si>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</si>
  <si>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</si>
  <si>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</si>
  <si>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</si>
  <si>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</si>
  <si>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</si>
  <si>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</si>
  <si>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</si>
  <si>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</si>
  <si>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</si>
  <si>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</si>
  <si>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</si>
  <si>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</si>
  <si>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</si>
  <si>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</si>
  <si>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</si>
  <si>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</si>
  <si>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</si>
  <si>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</si>
  <si>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</si>
  <si>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</si>
  <si>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</si>
  <si>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</si>
  <si>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</si>
  <si>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</si>
  <si>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</si>
  <si>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</si>
  <si>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</si>
  <si>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</si>
  <si>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</si>
  <si>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</si>
  <si>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</si>
  <si>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</si>
  <si>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</si>
  <si>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</si>
  <si>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</si>
  <si>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</si>
  <si>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</si>
  <si>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</si>
  <si>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</si>
  <si>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</si>
  <si>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</si>
  <si>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</si>
  <si>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</si>
  <si>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</si>
  <si>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</si>
  <si>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</si>
  <si>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</si>
  <si>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</si>
  <si>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</si>
  <si>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</si>
  <si>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</si>
  <si>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</si>
  <si>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</si>
  <si>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</si>
  <si>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</si>
  <si>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</si>
  <si>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</si>
  <si>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</si>
  <si>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</si>
  <si>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</si>
  <si>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</si>
  <si>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</si>
  <si>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</si>
  <si>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</si>
  <si>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</si>
  <si>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</si>
  <si>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</si>
  <si>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</si>
  <si>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</si>
  <si>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</si>
  <si>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</si>
  <si>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</si>
  <si>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</si>
  <si>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</si>
  <si>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</si>
  <si>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</si>
  <si>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</si>
  <si>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</si>
  <si>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</si>
  <si>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</si>
  <si>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</si>
  <si>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</si>
  <si>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</si>
  <si>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</si>
  <si>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</si>
  <si>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</si>
  <si>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</si>
  <si>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</si>
  <si>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</si>
  <si>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</si>
  <si>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</si>
  <si>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</si>
  <si>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</si>
  <si>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</si>
  <si>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</si>
  <si>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</si>
  <si>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</si>
  <si>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</si>
  <si>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</si>
  <si>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</si>
  <si>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</si>
  <si>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</si>
  <si>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</si>
  <si>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</si>
  <si>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</si>
  <si>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</si>
  <si>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</si>
  <si>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</si>
  <si>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</si>
  <si>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</si>
  <si>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</si>
  <si>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</si>
  <si>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</si>
  <si>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</si>
  <si>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</si>
  <si>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</si>
  <si>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</si>
  <si>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</si>
  <si>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</si>
  <si>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</si>
  <si>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</si>
  <si>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</si>
  <si>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</si>
  <si>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</si>
  <si>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</si>
  <si>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</si>
  <si>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</si>
  <si>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</si>
  <si>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</si>
  <si>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</si>
  <si>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</si>
  <si>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</si>
  <si>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</si>
  <si>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</si>
  <si>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</si>
  <si>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</si>
  <si>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</si>
  <si>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</si>
  <si>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</si>
  <si>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</si>
  <si>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</si>
  <si>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</si>
  <si>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</si>
  <si>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</si>
  <si>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</si>
  <si>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</si>
  <si>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</si>
  <si>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</si>
  <si>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</si>
  <si>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</si>
  <si>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</si>
  <si>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</si>
  <si>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</si>
  <si>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</si>
  <si>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</si>
  <si>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</si>
  <si>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</si>
  <si>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</si>
  <si>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</si>
  <si>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</si>
  <si>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</si>
  <si>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</si>
  <si>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</si>
  <si>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</si>
  <si>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</si>
  <si>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</si>
  <si>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</si>
  <si>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</si>
  <si>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</si>
  <si>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</si>
  <si>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</si>
  <si>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</si>
  <si>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</si>
  <si>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</si>
  <si>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</si>
  <si>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</si>
  <si>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</si>
  <si>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</si>
  <si>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</si>
  <si>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</si>
  <si>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</si>
  <si>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</si>
  <si>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</si>
  <si>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</si>
  <si>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</si>
  <si>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</si>
  <si>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</si>
  <si>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</si>
  <si>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</si>
  <si>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</si>
  <si>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</si>
  <si>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</si>
  <si>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</si>
  <si>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</si>
  <si>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</si>
  <si>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</si>
  <si>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</si>
  <si>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</si>
  <si>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</si>
  <si>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</si>
  <si>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</si>
  <si>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</si>
  <si>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</si>
  <si>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</si>
  <si>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</si>
  <si>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</si>
  <si>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</si>
  <si>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</si>
  <si>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</si>
  <si>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</si>
  <si>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</si>
  <si>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</si>
  <si>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</si>
  <si>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</si>
  <si>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</si>
  <si>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</si>
  <si>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</si>
  <si>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</si>
  <si>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</si>
  <si>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</si>
  <si>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</si>
  <si>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</si>
  <si>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</si>
  <si>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</si>
  <si>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</si>
  <si>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</si>
  <si>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</si>
  <si>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</si>
  <si>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</si>
  <si>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</si>
  <si>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</si>
  <si>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</si>
  <si>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</si>
  <si>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</si>
  <si>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</si>
  <si>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</si>
  <si>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</si>
  <si>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</si>
  <si>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</si>
  <si>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</si>
  <si>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</si>
  <si>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</si>
  <si>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</si>
  <si>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</si>
  <si>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</si>
  <si>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</si>
  <si>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</si>
  <si>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</si>
  <si>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</si>
  <si>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</si>
  <si>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</si>
  <si>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</si>
  <si>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</si>
  <si>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</si>
  <si>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</si>
  <si>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</si>
  <si>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</si>
  <si>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</si>
  <si>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</si>
  <si>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</si>
  <si>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</si>
  <si>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</si>
  <si>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</si>
  <si>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</si>
  <si>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</si>
  <si>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</si>
  <si>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</si>
  <si>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</si>
  <si>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</si>
  <si>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</si>
  <si>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</si>
  <si>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</si>
  <si>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</si>
  <si>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</si>
  <si>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</si>
  <si>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</si>
  <si>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</si>
  <si>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</si>
  <si>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</si>
  <si>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</si>
  <si>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</si>
  <si>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</si>
  <si>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</si>
  <si>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</si>
  <si>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</si>
  <si>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</si>
  <si>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</si>
  <si>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</si>
  <si>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</si>
  <si>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</si>
  <si>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</si>
  <si>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</si>
  <si>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</si>
  <si>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</si>
  <si>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</si>
  <si>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</si>
  <si>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</si>
  <si>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</si>
  <si>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</si>
  <si>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</si>
  <si>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</si>
  <si>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</si>
  <si>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</si>
  <si>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</si>
  <si>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</si>
  <si>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</si>
  <si>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</si>
  <si>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</si>
  <si>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</si>
  <si>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</si>
  <si>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</si>
  <si>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</si>
  <si>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</si>
  <si>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</si>
  <si>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</si>
  <si>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</si>
  <si>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</si>
  <si>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</si>
  <si>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</si>
  <si>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</si>
  <si>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</si>
  <si>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</si>
  <si>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</si>
  <si>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</si>
  <si>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</si>
  <si>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</si>
  <si>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</si>
  <si>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</si>
  <si>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</si>
  <si>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</si>
  <si>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</si>
  <si>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</si>
  <si>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</si>
  <si>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</si>
  <si>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</si>
  <si>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</si>
  <si>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</si>
  <si>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</si>
  <si>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</si>
  <si>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</si>
  <si>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</si>
  <si>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</si>
  <si>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</si>
  <si>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</si>
  <si>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</si>
  <si>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</si>
  <si>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</si>
  <si>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</si>
  <si>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</si>
  <si>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</si>
  <si>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</si>
  <si>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</si>
  <si>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</si>
  <si>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</si>
  <si>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</si>
  <si>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</si>
  <si>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</si>
  <si>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</si>
  <si>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</si>
  <si>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</si>
  <si>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</si>
  <si>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</si>
  <si>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</si>
  <si>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</si>
  <si>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</si>
  <si>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</si>
  <si>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</si>
  <si>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</si>
  <si>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</si>
  <si>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</si>
  <si>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</si>
  <si>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</si>
  <si>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</si>
  <si>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</si>
  <si>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</si>
  <si>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</si>
  <si>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</si>
  <si>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</si>
  <si>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</si>
  <si>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</si>
  <si>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</si>
  <si>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</si>
  <si>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</si>
  <si>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</si>
  <si>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</si>
  <si>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</si>
  <si>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</si>
  <si>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</si>
  <si>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</si>
  <si>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</si>
  <si>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</si>
  <si>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</si>
  <si>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</si>
  <si>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</si>
  <si>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</si>
  <si>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</si>
  <si>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</si>
  <si>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</si>
  <si>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</si>
  <si>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</si>
  <si>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</si>
  <si>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</si>
  <si>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</si>
  <si>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</si>
  <si>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</si>
  <si>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</si>
  <si>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</si>
  <si>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</si>
  <si>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</si>
  <si>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</si>
  <si>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</si>
  <si>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</si>
  <si>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</si>
  <si>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</si>
  <si>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</si>
  <si>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</si>
  <si>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</si>
  <si>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</si>
  <si>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</si>
  <si>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</si>
  <si>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</si>
  <si>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</si>
  <si>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</si>
  <si>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</si>
  <si>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</si>
  <si>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</si>
  <si>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</si>
  <si>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</si>
  <si>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</si>
  <si>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</si>
  <si>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</si>
  <si>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</si>
  <si>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</si>
  <si>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</si>
  <si>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</si>
  <si>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</si>
  <si>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</si>
  <si>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</si>
  <si>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</si>
  <si>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</si>
  <si>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</si>
  <si>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</si>
  <si>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</si>
  <si>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</si>
  <si>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</si>
  <si>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</si>
  <si>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</si>
  <si>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</si>
  <si>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</si>
  <si>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</si>
  <si>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</si>
  <si>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</si>
  <si>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</si>
  <si>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</si>
  <si>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</si>
  <si>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</si>
  <si>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</si>
  <si>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</si>
  <si>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</si>
  <si>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</si>
  <si>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</si>
  <si>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</si>
  <si>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</si>
  <si>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</si>
  <si>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</si>
  <si>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</si>
  <si>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</si>
  <si>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</si>
  <si>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</si>
  <si>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</si>
  <si>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</si>
  <si>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</si>
  <si>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</si>
  <si>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</si>
  <si>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</si>
  <si>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</si>
  <si>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</si>
  <si>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</si>
  <si>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</si>
  <si>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</si>
  <si>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</si>
  <si>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</si>
  <si>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</si>
  <si>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</si>
  <si>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</si>
  <si>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</si>
  <si>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</si>
  <si>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</si>
  <si>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</si>
  <si>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</si>
  <si>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</si>
  <si>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</si>
  <si>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</si>
  <si>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</si>
  <si>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</si>
  <si>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</si>
  <si>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</si>
  <si>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</si>
  <si>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</si>
  <si>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</si>
  <si>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</si>
  <si>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</si>
  <si>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</si>
  <si>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</si>
  <si>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</si>
  <si>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</si>
  <si>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</si>
  <si>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</si>
  <si>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</si>
  <si>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</si>
  <si>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</si>
  <si>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</si>
  <si>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</si>
  <si>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</si>
  <si>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</si>
  <si>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</si>
  <si>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</si>
  <si>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</si>
  <si>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</si>
  <si>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</si>
  <si>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</si>
  <si>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</si>
  <si>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</si>
  <si>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</si>
  <si>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</si>
  <si>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</si>
  <si>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</si>
  <si>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</si>
  <si>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</si>
  <si>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</si>
  <si>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</si>
  <si>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</si>
  <si>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</si>
  <si>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</si>
  <si>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</si>
  <si>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</si>
  <si>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</si>
  <si>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</si>
  <si>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</si>
  <si>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</si>
  <si>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</si>
  <si>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</si>
  <si>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</si>
  <si>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</si>
  <si>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</si>
  <si>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</si>
  <si>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</si>
  <si>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</si>
  <si>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</si>
  <si>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</si>
  <si>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</si>
  <si>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</si>
  <si>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</si>
  <si>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</si>
  <si>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</si>
  <si>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</si>
  <si>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</si>
  <si>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</si>
  <si>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</si>
  <si>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</si>
  <si>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</si>
  <si>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</si>
  <si>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</si>
  <si>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</si>
  <si>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</si>
  <si>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</si>
  <si>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</si>
  <si>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</si>
  <si>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</si>
  <si>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</si>
  <si>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</si>
  <si>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</si>
  <si>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</si>
  <si>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</si>
  <si>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</si>
  <si>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</si>
  <si>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</si>
  <si>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</si>
  <si>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</si>
  <si>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</si>
  <si>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</si>
  <si>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</si>
  <si>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</si>
  <si>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</si>
  <si>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</si>
  <si>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</si>
  <si>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</si>
  <si>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</si>
  <si>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</si>
  <si>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</si>
  <si>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</si>
  <si>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</si>
  <si>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</si>
  <si>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</si>
  <si>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</si>
  <si>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</si>
  <si>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</si>
  <si>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</si>
  <si>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</si>
  <si>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</si>
  <si>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</si>
  <si>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</si>
  <si>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</si>
  <si>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</si>
  <si>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</si>
  <si>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</si>
  <si>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</si>
  <si>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</si>
  <si>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</si>
  <si>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</si>
  <si>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</si>
  <si>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</si>
  <si>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</si>
  <si>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</si>
  <si>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</si>
  <si>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</si>
  <si>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</si>
  <si>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</si>
  <si>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</si>
  <si>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</si>
  <si>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</si>
  <si>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</si>
  <si>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</si>
  <si>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</si>
  <si>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</si>
  <si>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</si>
  <si>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</si>
  <si>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</si>
  <si>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</si>
  <si>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</si>
  <si>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</si>
  <si>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</si>
  <si>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</si>
  <si>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</si>
  <si>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</si>
  <si>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</si>
  <si>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</si>
  <si>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</si>
  <si>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</si>
  <si>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</si>
  <si>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</si>
  <si>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</si>
  <si>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</si>
  <si>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</si>
  <si>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</si>
  <si>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</si>
  <si>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</si>
  <si>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</si>
  <si>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</si>
  <si>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</si>
  <si>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</si>
  <si>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</si>
  <si>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</si>
  <si>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</si>
  <si>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</si>
  <si>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</si>
  <si>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</si>
  <si>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</si>
  <si>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</si>
  <si>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</si>
  <si>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</si>
  <si>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</si>
  <si>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</si>
  <si>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</si>
  <si>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</si>
  <si>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</si>
  <si>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</si>
  <si>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</si>
  <si>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</si>
  <si>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</si>
  <si>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</si>
  <si>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</si>
  <si>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</si>
  <si>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</si>
  <si>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</si>
  <si>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</si>
  <si>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</si>
  <si>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</si>
  <si>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</si>
  <si>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</si>
  <si>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</si>
  <si>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</si>
  <si>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</si>
  <si>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</si>
  <si>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</si>
  <si>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</si>
  <si>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</si>
  <si>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</si>
  <si>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</si>
  <si>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</si>
  <si>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</si>
  <si>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</si>
  <si>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</si>
  <si>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</si>
  <si>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</si>
  <si>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</si>
  <si>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</si>
  <si>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</si>
  <si>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</si>
  <si>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</si>
  <si>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</si>
  <si>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</si>
  <si>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</si>
  <si>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</si>
  <si>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</si>
  <si>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</si>
  <si>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</si>
  <si>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</si>
  <si>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</si>
  <si>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</si>
  <si>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</si>
  <si>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</si>
  <si>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</si>
  <si>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</si>
  <si>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</si>
  <si>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</si>
  <si>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</si>
  <si>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</si>
  <si>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</si>
  <si>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</si>
  <si>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</si>
  <si>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</si>
  <si>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</si>
  <si>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</si>
  <si>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</si>
  <si>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</si>
  <si>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</si>
  <si>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</si>
  <si>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</si>
  <si>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</si>
  <si>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</si>
  <si>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</si>
  <si>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</si>
  <si>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</si>
  <si>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</si>
  <si>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</si>
  <si>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</si>
  <si>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</si>
  <si>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</si>
  <si>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</si>
  <si>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</si>
  <si>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</si>
  <si>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</si>
  <si>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</si>
  <si>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</si>
  <si>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</si>
  <si>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</si>
  <si>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</si>
  <si>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</si>
  <si>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</si>
  <si>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</si>
  <si>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</si>
  <si>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</si>
  <si>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</si>
  <si>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</si>
  <si>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</si>
  <si>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</si>
  <si>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</si>
  <si>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</si>
  <si>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</si>
  <si>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</si>
  <si>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</si>
  <si>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</si>
  <si>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</si>
  <si>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</si>
  <si>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</si>
  <si>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</si>
  <si>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</si>
  <si>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</si>
  <si>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</si>
  <si>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</si>
  <si>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</si>
  <si>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</si>
  <si>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</si>
  <si>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</si>
  <si>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</si>
  <si>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</si>
  <si>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</si>
  <si>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</si>
  <si>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</si>
  <si>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</si>
  <si>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</si>
  <si>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</si>
  <si>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</si>
  <si>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</si>
  <si>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</si>
  <si>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</si>
  <si>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</si>
  <si>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</si>
  <si>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</si>
  <si>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</si>
  <si>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</si>
  <si>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</si>
  <si>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</si>
  <si>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</si>
  <si>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</si>
  <si>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</si>
  <si>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</si>
  <si>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</si>
  <si>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</si>
  <si>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</si>
  <si>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</si>
  <si>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</si>
  <si>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</si>
  <si>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</si>
  <si>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</si>
  <si>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</si>
  <si>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</si>
  <si>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</si>
  <si>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</si>
  <si>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</si>
  <si>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</si>
  <si>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</si>
  <si>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</si>
  <si>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</si>
  <si>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</si>
  <si>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</si>
  <si>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</si>
  <si>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</si>
  <si>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</si>
  <si>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</si>
  <si>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</si>
  <si>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</si>
  <si>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</si>
  <si>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</si>
  <si>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</si>
  <si>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</si>
  <si>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</si>
  <si>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</si>
  <si>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</si>
  <si>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</si>
  <si>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</si>
  <si>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</si>
  <si>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</si>
  <si>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</si>
  <si>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</si>
  <si>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</si>
  <si>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</si>
  <si>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</si>
  <si>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</si>
  <si>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</si>
  <si>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</si>
  <si>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</si>
  <si>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</si>
  <si>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</si>
  <si>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</si>
  <si>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</si>
  <si>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</si>
  <si>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</si>
  <si>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</si>
  <si>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</si>
  <si>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</si>
  <si>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</si>
  <si>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</si>
  <si>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</si>
  <si>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</si>
  <si>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</si>
  <si>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</si>
  <si>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</si>
  <si>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</si>
  <si>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</si>
  <si>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</si>
  <si>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</si>
  <si>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</si>
  <si>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</si>
  <si>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</si>
  <si>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</si>
  <si>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</si>
  <si>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</si>
  <si>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</si>
  <si>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</si>
  <si>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</si>
  <si>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</si>
  <si>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</si>
  <si>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</si>
  <si>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</si>
  <si>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</si>
  <si>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</si>
  <si>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</si>
  <si>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</si>
  <si>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</si>
  <si>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</si>
  <si>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</si>
  <si>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</si>
  <si>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</si>
  <si>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</si>
  <si>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</si>
  <si>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</si>
  <si>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</si>
  <si>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</si>
  <si>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</si>
  <si>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</si>
  <si>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</si>
  <si>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</si>
  <si>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</si>
  <si>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</si>
  <si>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</si>
  <si>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</si>
  <si>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</si>
  <si>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</si>
  <si>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</si>
  <si>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</si>
  <si>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</si>
  <si>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</si>
  <si>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</si>
  <si>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</si>
  <si>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</si>
  <si>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</si>
  <si>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</si>
  <si>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</si>
  <si>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</si>
  <si>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</si>
  <si>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</si>
  <si>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</si>
  <si>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</si>
  <si>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</si>
  <si>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</si>
  <si>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</si>
  <si>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</si>
  <si>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</si>
  <si>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</si>
  <si>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</si>
  <si>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</si>
  <si>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</si>
  <si>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</si>
  <si>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</si>
  <si>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</si>
  <si>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</si>
  <si>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</si>
  <si>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</si>
  <si>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</si>
  <si>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</si>
  <si>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</si>
  <si>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</si>
  <si>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</si>
  <si>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</si>
  <si>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</si>
  <si>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</si>
  <si>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</si>
  <si>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</si>
  <si>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</si>
  <si>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</si>
  <si>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</si>
  <si>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</si>
  <si>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</si>
  <si>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</si>
  <si>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</si>
  <si>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</si>
  <si>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</si>
  <si>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</si>
  <si>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</si>
  <si>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</si>
  <si>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</si>
  <si>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</si>
  <si>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</si>
  <si>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</si>
  <si>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</si>
  <si>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</si>
  <si>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</si>
  <si>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</si>
  <si>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</si>
  <si>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</si>
  <si>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</si>
  <si>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</si>
  <si>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</si>
  <si>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</si>
  <si>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</si>
  <si>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</si>
  <si>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</si>
  <si>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</si>
  <si>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</si>
  <si>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</si>
  <si>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</si>
  <si>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</si>
  <si>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</si>
  <si>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</si>
  <si>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</si>
  <si>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</si>
  <si>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</si>
  <si>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</si>
  <si>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</si>
  <si>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</si>
  <si>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</si>
  <si>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</si>
  <si>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</si>
  <si>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</si>
  <si>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</si>
  <si>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</si>
  <si>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</si>
  <si>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</si>
  <si>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</si>
  <si>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</si>
  <si>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</si>
  <si>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</si>
  <si>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</si>
  <si>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</si>
  <si>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</si>
  <si>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</si>
  <si>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</si>
  <si>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</si>
  <si>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</si>
  <si>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</si>
  <si>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</si>
  <si>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</si>
  <si>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</si>
  <si>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</si>
  <si>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</si>
  <si>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</si>
  <si>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</si>
  <si>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</si>
  <si>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</si>
  <si>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</si>
  <si>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</si>
  <si>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</si>
  <si>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</si>
  <si>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</si>
  <si>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</si>
  <si>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</si>
  <si>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</si>
  <si>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</si>
  <si>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</si>
  <si>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</si>
  <si>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</si>
  <si>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</si>
  <si>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</si>
  <si>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</si>
  <si>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</si>
  <si>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</si>
  <si>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</si>
  <si>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</si>
  <si>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</si>
  <si>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</si>
  <si>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</si>
  <si>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</si>
  <si>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</si>
  <si>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</si>
  <si>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</si>
  <si>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</si>
  <si>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</si>
  <si>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</si>
  <si>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</si>
  <si>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</si>
  <si>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</si>
  <si>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</si>
  <si>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</si>
  <si>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</si>
  <si>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</si>
  <si>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</si>
  <si>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</si>
  <si>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</si>
  <si>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</si>
  <si>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</si>
  <si>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</si>
  <si>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</si>
  <si>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</si>
  <si>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</si>
  <si>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</si>
  <si>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</si>
  <si>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</si>
  <si>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</si>
  <si>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</si>
  <si>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</si>
  <si>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</si>
  <si>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</si>
  <si>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</si>
  <si>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</si>
  <si>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</si>
  <si>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</si>
  <si>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</si>
  <si>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</si>
  <si>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</si>
  <si>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</si>
  <si>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</si>
  <si>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</si>
  <si>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</si>
  <si>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</si>
  <si>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</si>
  <si>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</si>
  <si>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</si>
  <si>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</si>
  <si>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</si>
  <si>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</si>
  <si>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</si>
  <si>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</si>
  <si>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</si>
  <si>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</si>
  <si>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</si>
  <si>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</si>
  <si>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</si>
  <si>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</si>
  <si>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</si>
  <si>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</si>
  <si>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</si>
  <si>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</si>
  <si>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</si>
  <si>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</si>
  <si>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</si>
  <si>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</si>
  <si>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</si>
  <si>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</si>
  <si>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</si>
  <si>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</si>
  <si>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</si>
  <si>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</si>
  <si>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</si>
  <si>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</si>
  <si>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</si>
  <si>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</si>
  <si>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</si>
  <si>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</si>
  <si>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</si>
  <si>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</si>
  <si>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</si>
  <si>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</si>
  <si>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</si>
  <si>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</si>
  <si>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</si>
  <si>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</si>
  <si>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</si>
  <si>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</si>
  <si>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</si>
  <si>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</si>
  <si>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</si>
  <si>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</si>
  <si>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</si>
  <si>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</si>
  <si>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</si>
  <si>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</si>
  <si>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</si>
  <si>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</si>
  <si>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</si>
  <si>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</si>
  <si>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</si>
  <si>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</si>
  <si>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</si>
  <si>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</si>
  <si>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</si>
  <si>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</si>
  <si>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</si>
  <si>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</si>
  <si>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</si>
  <si>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</si>
  <si>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</si>
  <si>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</si>
  <si>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</si>
  <si>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</si>
  <si>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</si>
  <si>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</si>
  <si>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</si>
  <si>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</si>
  <si>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</si>
  <si>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</si>
  <si>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</si>
  <si>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</si>
  <si>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</si>
  <si>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</si>
  <si>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</si>
  <si>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</si>
  <si>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</si>
  <si>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</si>
  <si>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</si>
  <si>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</si>
  <si>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</si>
  <si>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</si>
  <si>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</si>
  <si>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</si>
  <si>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</si>
  <si>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</si>
  <si>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</si>
  <si>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</si>
  <si>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</si>
  <si>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</si>
  <si>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</si>
  <si>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</si>
  <si>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</si>
  <si>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</si>
  <si>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</si>
  <si>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</si>
  <si>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</si>
  <si>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</si>
  <si>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</si>
  <si>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</si>
  <si>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</si>
  <si>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</si>
  <si>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</si>
  <si>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</si>
  <si>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</si>
  <si>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</si>
  <si>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</si>
  <si>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</si>
  <si>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</si>
  <si>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</si>
  <si>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</si>
  <si>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</si>
  <si>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</si>
  <si>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</si>
  <si>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</si>
  <si>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</si>
  <si>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</si>
  <si>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</si>
  <si>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</si>
  <si>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</si>
  <si>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</si>
  <si>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</si>
  <si>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</si>
  <si>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</si>
  <si>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</si>
  <si>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</si>
  <si>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</si>
  <si>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</si>
  <si>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</si>
  <si>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</si>
  <si>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</si>
  <si>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</si>
  <si>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</si>
  <si>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</si>
  <si>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</si>
  <si>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</si>
  <si>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</si>
  <si>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</si>
  <si>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</si>
  <si>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</si>
  <si>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</si>
  <si>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</si>
  <si>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</si>
  <si>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</si>
  <si>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</si>
  <si>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</si>
  <si>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</si>
  <si>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</si>
  <si>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</si>
  <si>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</si>
  <si>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</si>
  <si>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</si>
  <si>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</si>
  <si>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</si>
  <si>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</si>
  <si>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</si>
  <si>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</si>
  <si>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</si>
  <si>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</si>
  <si>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</si>
  <si>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</si>
  <si>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</si>
  <si>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</si>
  <si>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</si>
  <si>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</si>
  <si>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</si>
  <si>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</si>
  <si>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</si>
  <si>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</si>
  <si>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</si>
  <si>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</si>
  <si>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</si>
  <si>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</si>
  <si>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</si>
  <si>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</si>
  <si>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</si>
  <si>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</si>
  <si>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</si>
  <si>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</si>
  <si>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</si>
  <si>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</si>
  <si>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</si>
  <si>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</si>
  <si>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</si>
  <si>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</si>
  <si>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</si>
  <si>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</si>
  <si>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</si>
  <si>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</si>
  <si>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</si>
  <si>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</si>
  <si>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</si>
  <si>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</si>
  <si>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</si>
  <si>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</si>
  <si>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</si>
  <si>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</si>
  <si>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</si>
  <si>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</si>
  <si>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</si>
  <si>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</si>
  <si>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</si>
  <si>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</si>
  <si>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</si>
  <si>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</si>
  <si>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AIM METALS &amp; ALLOYS LP</t>
  </si>
  <si>
    <t xml:space="preserve">24 -417-0747 </t>
  </si>
  <si>
    <t>DUNS</t>
  </si>
  <si>
    <t>9100 Henri Bourassa East H1E 2S4 Montreal, QC</t>
  </si>
  <si>
    <t>Mario Portillo</t>
  </si>
  <si>
    <t>mportillo@aimsolder.com</t>
  </si>
  <si>
    <t>(+52) 6562627372</t>
  </si>
  <si>
    <t>Regulatory Affairs Officer</t>
  </si>
  <si>
    <t>They are THAISARCO CID001898 and MSC CID001105, however they are CFSI RMI Compliant Smelters, THAISARCO uses iTSCI as the certify party to confirm the traceability of the tagged materials.</t>
  </si>
  <si>
    <t>See smelter list tab for Smelters of recycled source</t>
  </si>
  <si>
    <t>100%</t>
  </si>
  <si>
    <t>http://www.aimsolder.com/environmental-conflict-metal-policies</t>
  </si>
  <si>
    <t>Paweł Kupiec</t>
  </si>
  <si>
    <t>p.kupiec@fenixmetals.com</t>
  </si>
  <si>
    <t>scrap</t>
  </si>
  <si>
    <t>Ramiro Villavicencio</t>
  </si>
  <si>
    <t>ramiro.vallavicencio@vinto.gob.bo</t>
  </si>
  <si>
    <t>N/A, compliant smelter</t>
  </si>
  <si>
    <t>Bolivia  State owned &amp; Private Mines</t>
  </si>
  <si>
    <t>Bolivia</t>
  </si>
  <si>
    <t>Ivo Serkovic Gomez</t>
  </si>
  <si>
    <t>ivo.serkovic@minsur.com</t>
  </si>
  <si>
    <t>San Rafael</t>
  </si>
  <si>
    <t>Puno - Peru</t>
  </si>
  <si>
    <t>Mr. Guo</t>
  </si>
  <si>
    <t>yuntinic@sbcglobal.net</t>
  </si>
  <si>
    <t>Pacuni Chico (Reg.-No. 26961) - operated by Cooperativa Minera Pacuni Chico Ltda</t>
  </si>
  <si>
    <t>La Paz, Inquisivi Province, Quime Bolivia</t>
  </si>
  <si>
    <t>刘冰</t>
  </si>
  <si>
    <t>ice8417733@163.com</t>
  </si>
  <si>
    <t>无</t>
  </si>
  <si>
    <t>Gaofeng,tongkeng</t>
  </si>
  <si>
    <t>guangxi,china</t>
  </si>
  <si>
    <t>Kepulauan Bangka Belitung Mine, Bangka Mine, Belitung Mine, Bangka Selatan Mine, Bangka Tengah Mine</t>
  </si>
  <si>
    <t>Bangka</t>
  </si>
  <si>
    <t>27 JALAN PANTAI</t>
  </si>
  <si>
    <t>Raveentiran a/l Krishnan</t>
  </si>
  <si>
    <t>raveentiran@msmelt.com</t>
  </si>
  <si>
    <t>VARIOUS</t>
  </si>
  <si>
    <t>DRC, RWANDA, NIGERIA, AUSTRALIA, MALAYSIA, BRAZIL,</t>
  </si>
  <si>
    <t>Niels Keyaert / Vanessa Germonpre</t>
  </si>
  <si>
    <t>n.keyaert@aurubis.com / V.Germonpre@aurubis.com</t>
  </si>
  <si>
    <t>Recycled</t>
  </si>
  <si>
    <t>80 Moo 8 Sakdidej Road</t>
  </si>
  <si>
    <t>Mr. Andrew Davies</t>
  </si>
  <si>
    <t>andrew.davies@thaisarco.com</t>
  </si>
  <si>
    <t>Name of Mine(s) is as follows: Bluestone Mine Tasmania in Australia. Panasqueira, Portugal. UIS Mine, Namibia. For tin ingot, we're only source from RMPA Compliant Smelters. For tin concentrates from central Africa, we're only source tagged material through the reputation trading firms and are iTSCi full Membership.</t>
  </si>
  <si>
    <t xml:space="preserve">Level 1 countries i.e. Indonesia, South America, South East Asia countries. Level 3 countries i.e. DRC and adjoined countries (including the Democratic Republic of the Congo (DRC), Rwanda, Uganda and Burundi.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</si>
</sst>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mportillo@aimsolder.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aimsolder.com/environmental-conflict-metal-policies" TargetMode="External"/><Relationship Id="rId4" Type="http://schemas.openxmlformats.org/officeDocument/2006/relationships/hyperlink" Target="mailto:mportillo@aimsolder.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837</v>
      </c>
      <c r="C2" s="3"/>
      <c r="D2" s="175"/>
      <c r="E2" s="3"/>
      <c r="F2" s="3"/>
      <c r="G2" s="25"/>
    </row>
    <row r="3" spans="1:7">
      <c r="A3" s="308"/>
      <c r="B3" s="3" t="s">
        <v>829</v>
      </c>
      <c r="C3" s="5"/>
      <c r="D3" s="176"/>
      <c r="E3" s="3"/>
      <c r="F3" s="5"/>
      <c r="G3" s="25"/>
    </row>
    <row r="4" spans="1:7" ht="15.75">
      <c r="A4" s="308"/>
      <c r="B4" s="30" t="s">
        <v>839</v>
      </c>
      <c r="C4" s="6"/>
      <c r="D4" s="177"/>
      <c r="E4" s="3"/>
      <c r="F4" s="6"/>
      <c r="G4" s="25"/>
    </row>
    <row r="5" spans="1:7">
      <c r="A5" s="308"/>
      <c r="B5" s="29" t="s">
        <v>1030</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840</v>
      </c>
      <c r="C9" s="311"/>
      <c r="D9" s="311"/>
      <c r="E9" s="311"/>
      <c r="F9" s="311"/>
      <c r="G9" s="25"/>
    </row>
    <row r="10" spans="1:7" ht="27" customHeight="1">
      <c r="A10" s="308"/>
      <c r="B10" s="312" t="s">
        <v>434</v>
      </c>
      <c r="C10" s="312"/>
      <c r="D10" s="312"/>
      <c r="E10" s="312"/>
      <c r="F10" s="312"/>
      <c r="G10" s="25"/>
    </row>
    <row r="11" spans="1:7" ht="27" customHeight="1">
      <c r="A11" s="308"/>
      <c r="B11" s="313"/>
      <c r="C11" s="313"/>
      <c r="D11" s="313"/>
      <c r="E11" s="313"/>
      <c r="F11" s="313"/>
      <c r="G11" s="25"/>
    </row>
    <row r="12" spans="1:7">
      <c r="A12" s="308"/>
      <c r="B12" s="31" t="s">
        <v>838</v>
      </c>
      <c r="C12" s="32" t="s">
        <v>841</v>
      </c>
      <c r="D12" s="179" t="s">
        <v>842</v>
      </c>
      <c r="E12" s="32" t="s">
        <v>608</v>
      </c>
      <c r="F12" s="32" t="s">
        <v>609</v>
      </c>
      <c r="G12" s="25"/>
    </row>
    <row r="13" spans="1:7" ht="33.75">
      <c r="A13" s="308"/>
      <c r="B13" s="2">
        <v>1</v>
      </c>
      <c r="C13" s="27" t="s">
        <v>1078</v>
      </c>
      <c r="D13" s="28" t="s">
        <v>866</v>
      </c>
      <c r="E13" s="163" t="s">
        <v>843</v>
      </c>
      <c r="F13" s="163"/>
      <c r="G13" s="25"/>
    </row>
    <row r="14" spans="1:7" ht="33.75">
      <c r="A14" s="308"/>
      <c r="B14" s="2">
        <v>2</v>
      </c>
      <c r="C14" s="27" t="s">
        <v>1078</v>
      </c>
      <c r="D14" s="28" t="s">
        <v>1015</v>
      </c>
      <c r="E14" s="163" t="s">
        <v>526</v>
      </c>
      <c r="F14" s="163" t="s">
        <v>527</v>
      </c>
      <c r="G14" s="25"/>
    </row>
    <row r="15" spans="1:7" ht="89.1" customHeight="1">
      <c r="A15" s="308"/>
      <c r="B15" s="293">
        <v>2.0099999999999998</v>
      </c>
      <c r="C15" s="305" t="s">
        <v>1078</v>
      </c>
      <c r="D15" s="314" t="s">
        <v>2229</v>
      </c>
      <c r="E15" s="164" t="s">
        <v>610</v>
      </c>
      <c r="F15" s="164" t="s">
        <v>613</v>
      </c>
      <c r="G15" s="25"/>
    </row>
    <row r="16" spans="1:7" ht="99" customHeight="1">
      <c r="A16" s="308"/>
      <c r="B16" s="294"/>
      <c r="C16" s="306"/>
      <c r="D16" s="315"/>
      <c r="E16" s="165"/>
      <c r="F16" s="165" t="s">
        <v>611</v>
      </c>
      <c r="G16" s="25"/>
    </row>
    <row r="17" spans="1:7" ht="63" customHeight="1">
      <c r="A17" s="308"/>
      <c r="B17" s="295"/>
      <c r="C17" s="307"/>
      <c r="D17" s="316"/>
      <c r="E17" s="27"/>
      <c r="F17" s="27" t="s">
        <v>612</v>
      </c>
      <c r="G17" s="25"/>
    </row>
    <row r="18" spans="1:7" ht="117" customHeight="1">
      <c r="A18" s="308"/>
      <c r="B18" s="293">
        <v>2.02</v>
      </c>
      <c r="C18" s="305" t="s">
        <v>1078</v>
      </c>
      <c r="D18" s="314" t="s">
        <v>2230</v>
      </c>
      <c r="E18" s="164" t="s">
        <v>435</v>
      </c>
      <c r="F18" s="164" t="s">
        <v>521</v>
      </c>
      <c r="G18" s="25"/>
    </row>
    <row r="19" spans="1:7" ht="71.099999999999994" customHeight="1">
      <c r="A19" s="308"/>
      <c r="B19" s="294"/>
      <c r="C19" s="306"/>
      <c r="D19" s="315"/>
      <c r="E19" s="165" t="s">
        <v>525</v>
      </c>
      <c r="F19" s="165" t="s">
        <v>436</v>
      </c>
      <c r="G19" s="25"/>
    </row>
    <row r="20" spans="1:7" ht="90.75" customHeight="1">
      <c r="A20" s="308"/>
      <c r="B20" s="294"/>
      <c r="C20" s="306"/>
      <c r="D20" s="315"/>
      <c r="E20" s="165"/>
      <c r="F20" s="165" t="s">
        <v>615</v>
      </c>
      <c r="G20" s="25"/>
    </row>
    <row r="21" spans="1:7" ht="74.25" customHeight="1">
      <c r="A21" s="308"/>
      <c r="B21" s="295"/>
      <c r="C21" s="307"/>
      <c r="D21" s="316"/>
      <c r="E21" s="27"/>
      <c r="F21" s="27" t="s">
        <v>614</v>
      </c>
      <c r="G21" s="25"/>
    </row>
    <row r="22" spans="1:7" ht="90" customHeight="1">
      <c r="A22" s="308"/>
      <c r="B22" s="299">
        <v>2.0299999999999998</v>
      </c>
      <c r="C22" s="299" t="s">
        <v>812</v>
      </c>
      <c r="D22" s="302" t="s">
        <v>2231</v>
      </c>
      <c r="E22" s="305" t="s">
        <v>433</v>
      </c>
      <c r="F22" s="164" t="s">
        <v>456</v>
      </c>
      <c r="G22" s="25"/>
    </row>
    <row r="23" spans="1:7" ht="109.5" customHeight="1">
      <c r="A23" s="308"/>
      <c r="B23" s="300"/>
      <c r="C23" s="300"/>
      <c r="D23" s="303"/>
      <c r="E23" s="306"/>
      <c r="F23" s="165" t="s">
        <v>813</v>
      </c>
      <c r="G23" s="25"/>
    </row>
    <row r="24" spans="1:7" ht="74.25" customHeight="1">
      <c r="A24" s="308"/>
      <c r="B24" s="301"/>
      <c r="C24" s="301"/>
      <c r="D24" s="304"/>
      <c r="E24" s="307"/>
      <c r="F24" s="27" t="s">
        <v>432</v>
      </c>
      <c r="G24" s="25"/>
    </row>
    <row r="25" spans="1:7" ht="72" customHeight="1">
      <c r="A25" s="308"/>
      <c r="B25" s="2" t="s">
        <v>454</v>
      </c>
      <c r="C25" s="27" t="s">
        <v>455</v>
      </c>
      <c r="D25" s="28" t="s">
        <v>2232</v>
      </c>
      <c r="E25" s="27" t="s">
        <v>2227</v>
      </c>
      <c r="F25" s="27" t="s">
        <v>457</v>
      </c>
      <c r="G25" s="25"/>
    </row>
    <row r="26" spans="1:7" ht="98.1" customHeight="1">
      <c r="A26" s="308"/>
      <c r="B26" s="296">
        <v>3</v>
      </c>
      <c r="C26" s="293" t="s">
        <v>67</v>
      </c>
      <c r="D26" s="314" t="s">
        <v>2233</v>
      </c>
      <c r="E26" s="305" t="s">
        <v>0</v>
      </c>
      <c r="F26" s="164" t="s">
        <v>61</v>
      </c>
      <c r="G26" s="25"/>
    </row>
    <row r="27" spans="1:7" ht="90" customHeight="1">
      <c r="A27" s="308"/>
      <c r="B27" s="297"/>
      <c r="C27" s="294"/>
      <c r="D27" s="315"/>
      <c r="E27" s="306"/>
      <c r="F27" s="165" t="s">
        <v>56</v>
      </c>
      <c r="G27" s="25"/>
    </row>
    <row r="28" spans="1:7" ht="19.350000000000001" customHeight="1">
      <c r="A28" s="308"/>
      <c r="B28" s="297"/>
      <c r="C28" s="294"/>
      <c r="D28" s="315"/>
      <c r="E28" s="306"/>
      <c r="F28" s="165" t="s">
        <v>57</v>
      </c>
      <c r="G28" s="25"/>
    </row>
    <row r="29" spans="1:7" ht="74.45" customHeight="1">
      <c r="A29" s="308"/>
      <c r="B29" s="297"/>
      <c r="C29" s="294"/>
      <c r="D29" s="315"/>
      <c r="E29" s="306"/>
      <c r="F29" s="165" t="s">
        <v>58</v>
      </c>
      <c r="G29" s="25"/>
    </row>
    <row r="30" spans="1:7" ht="62.45" customHeight="1">
      <c r="A30" s="308"/>
      <c r="B30" s="297"/>
      <c r="C30" s="294"/>
      <c r="D30" s="315"/>
      <c r="E30" s="306"/>
      <c r="F30" s="165" t="s">
        <v>59</v>
      </c>
      <c r="G30" s="25"/>
    </row>
    <row r="31" spans="1:7" ht="81" customHeight="1">
      <c r="A31" s="308"/>
      <c r="B31" s="297"/>
      <c r="C31" s="294"/>
      <c r="D31" s="315"/>
      <c r="E31" s="306"/>
      <c r="F31" s="165" t="s">
        <v>60</v>
      </c>
      <c r="G31" s="25"/>
    </row>
    <row r="32" spans="1:7" ht="48.75" customHeight="1">
      <c r="A32" s="308"/>
      <c r="B32" s="297"/>
      <c r="C32" s="294"/>
      <c r="D32" s="315"/>
      <c r="E32" s="306"/>
      <c r="F32" s="165" t="s">
        <v>63</v>
      </c>
      <c r="G32" s="25"/>
    </row>
    <row r="33" spans="1:7" ht="98.45" customHeight="1">
      <c r="A33" s="308"/>
      <c r="B33" s="297"/>
      <c r="C33" s="294"/>
      <c r="D33" s="315"/>
      <c r="E33" s="306"/>
      <c r="F33" s="165" t="s">
        <v>62</v>
      </c>
      <c r="G33" s="25"/>
    </row>
    <row r="34" spans="1:7" ht="89.1" customHeight="1">
      <c r="A34" s="308"/>
      <c r="B34" s="297"/>
      <c r="C34" s="294"/>
      <c r="D34" s="315"/>
      <c r="E34" s="306"/>
      <c r="F34" s="165" t="s">
        <v>64</v>
      </c>
      <c r="G34" s="25"/>
    </row>
    <row r="35" spans="1:7" ht="29.1" customHeight="1">
      <c r="A35" s="308"/>
      <c r="B35" s="297"/>
      <c r="C35" s="294"/>
      <c r="D35" s="315"/>
      <c r="E35" s="306"/>
      <c r="F35" s="165" t="s">
        <v>65</v>
      </c>
      <c r="G35" s="25"/>
    </row>
    <row r="36" spans="1:7" ht="126.75">
      <c r="A36" s="308"/>
      <c r="B36" s="298"/>
      <c r="C36" s="295"/>
      <c r="D36" s="316"/>
      <c r="E36" s="307"/>
      <c r="F36" s="166" t="s">
        <v>66</v>
      </c>
      <c r="G36" s="25"/>
    </row>
    <row r="37" spans="1:7" ht="112.5">
      <c r="A37" s="308"/>
      <c r="B37" s="141">
        <v>3.01</v>
      </c>
      <c r="C37" s="142" t="s">
        <v>67</v>
      </c>
      <c r="D37" s="28" t="s">
        <v>2234</v>
      </c>
      <c r="E37" s="167" t="s">
        <v>1316</v>
      </c>
      <c r="F37" s="168" t="s">
        <v>1420</v>
      </c>
      <c r="G37" s="25"/>
    </row>
    <row r="38" spans="1:7" ht="101.25">
      <c r="A38" s="308"/>
      <c r="B38" s="141">
        <v>3.02</v>
      </c>
      <c r="C38" s="142" t="s">
        <v>1349</v>
      </c>
      <c r="D38" s="28" t="s">
        <v>2235</v>
      </c>
      <c r="E38" s="167" t="s">
        <v>1364</v>
      </c>
      <c r="F38" s="168" t="s">
        <v>1421</v>
      </c>
      <c r="G38" s="25"/>
    </row>
    <row r="39" spans="1:7" ht="101.25">
      <c r="A39" s="308"/>
      <c r="B39" s="150">
        <v>4</v>
      </c>
      <c r="C39" s="149" t="s">
        <v>1517</v>
      </c>
      <c r="D39" s="28" t="s">
        <v>2236</v>
      </c>
      <c r="E39" s="27" t="s">
        <v>2182</v>
      </c>
      <c r="F39" s="27" t="s">
        <v>1518</v>
      </c>
      <c r="G39" s="25"/>
    </row>
    <row r="40" spans="1:7" ht="56.25">
      <c r="A40" s="308"/>
      <c r="B40" s="141">
        <v>4.01</v>
      </c>
      <c r="C40" s="149" t="s">
        <v>1517</v>
      </c>
      <c r="D40" s="28" t="s">
        <v>2238</v>
      </c>
      <c r="E40" s="27" t="s">
        <v>2194</v>
      </c>
      <c r="F40" s="27" t="s">
        <v>2198</v>
      </c>
      <c r="G40" s="25"/>
    </row>
    <row r="41" spans="1:7" ht="56.25">
      <c r="A41" s="308"/>
      <c r="B41" s="141" t="s">
        <v>2225</v>
      </c>
      <c r="C41" s="149" t="s">
        <v>1517</v>
      </c>
      <c r="D41" s="28" t="s">
        <v>2237</v>
      </c>
      <c r="E41" s="27" t="s">
        <v>2228</v>
      </c>
      <c r="F41" s="27" t="s">
        <v>2226</v>
      </c>
      <c r="G41" s="25"/>
    </row>
    <row r="42" spans="1:7" ht="56.25">
      <c r="A42" s="308"/>
      <c r="B42" s="141" t="s">
        <v>2259</v>
      </c>
      <c r="C42" s="149" t="s">
        <v>1517</v>
      </c>
      <c r="D42" s="28" t="s">
        <v>2264</v>
      </c>
      <c r="E42" s="27" t="s">
        <v>2227</v>
      </c>
      <c r="F42" s="27" t="s">
        <v>2260</v>
      </c>
      <c r="G42" s="25"/>
    </row>
    <row r="43" spans="1:7" ht="123.75">
      <c r="A43" s="308"/>
      <c r="B43" s="160">
        <v>4.0999999999999996</v>
      </c>
      <c r="C43" s="149" t="s">
        <v>2263</v>
      </c>
      <c r="D43" s="161">
        <v>42867</v>
      </c>
      <c r="E43" s="169" t="s">
        <v>2266</v>
      </c>
      <c r="F43" s="27" t="s">
        <v>2265</v>
      </c>
      <c r="G43" s="25"/>
    </row>
    <row r="44" spans="1:7" ht="78.75">
      <c r="A44" s="308"/>
      <c r="B44" s="160">
        <v>4.2</v>
      </c>
      <c r="C44" s="149" t="s">
        <v>2263</v>
      </c>
      <c r="D44" s="161">
        <v>42704</v>
      </c>
      <c r="E44" s="169" t="s">
        <v>2462</v>
      </c>
      <c r="F44" s="27" t="s">
        <v>2437</v>
      </c>
      <c r="G44" s="25"/>
    </row>
    <row r="45" spans="1:7" ht="157.5">
      <c r="A45" s="308"/>
      <c r="B45" s="202">
        <v>5</v>
      </c>
      <c r="C45" s="149" t="s">
        <v>2263</v>
      </c>
      <c r="D45" s="161">
        <v>42867</v>
      </c>
      <c r="E45" s="169" t="s">
        <v>12683</v>
      </c>
      <c r="F45" s="27" t="s">
        <v>12405</v>
      </c>
      <c r="G45" s="25"/>
    </row>
    <row r="46" spans="1:7" ht="45">
      <c r="A46" s="308"/>
      <c r="B46" s="160">
        <v>5.01</v>
      </c>
      <c r="C46" s="149" t="s">
        <v>2263</v>
      </c>
      <c r="D46" s="161">
        <v>42907</v>
      </c>
      <c r="E46" s="169" t="s">
        <v>15484</v>
      </c>
      <c r="F46" s="27" t="s">
        <v>12405</v>
      </c>
      <c r="G46" s="25"/>
    </row>
    <row r="47" spans="1:7" ht="67.5">
      <c r="A47" s="308"/>
      <c r="B47" s="160">
        <v>5.0999999999999996</v>
      </c>
      <c r="C47" s="149" t="s">
        <v>2263</v>
      </c>
      <c r="D47" s="161">
        <v>43070</v>
      </c>
      <c r="E47" s="169" t="s">
        <v>12893</v>
      </c>
      <c r="F47" s="27" t="s">
        <v>12894</v>
      </c>
      <c r="G47" s="25"/>
    </row>
    <row r="48" spans="1:7" ht="56.25">
      <c r="A48" s="308"/>
      <c r="B48" s="160">
        <v>5.1100000000000003</v>
      </c>
      <c r="C48" s="149" t="s">
        <v>13129</v>
      </c>
      <c r="D48" s="161">
        <v>43217</v>
      </c>
      <c r="E48" s="169" t="s">
        <v>13255</v>
      </c>
      <c r="F48" s="27" t="s">
        <v>13163</v>
      </c>
      <c r="G48" s="25"/>
    </row>
    <row r="49" spans="1:7" ht="56.25">
      <c r="A49" s="308"/>
      <c r="B49" s="160">
        <v>5.12</v>
      </c>
      <c r="C49" s="149" t="s">
        <v>13129</v>
      </c>
      <c r="D49" s="161">
        <v>43581</v>
      </c>
      <c r="E49" s="169" t="s">
        <v>13255</v>
      </c>
      <c r="F49" s="27" t="s">
        <v>13807</v>
      </c>
      <c r="G49" s="25"/>
    </row>
    <row r="50" spans="1:7" ht="78.75">
      <c r="A50" s="308"/>
      <c r="B50" s="202">
        <v>6</v>
      </c>
      <c r="C50" s="149" t="s">
        <v>13129</v>
      </c>
      <c r="D50" s="161">
        <v>43964</v>
      </c>
      <c r="E50" s="169" t="s">
        <v>14020</v>
      </c>
      <c r="F50" s="27" t="s">
        <v>13810</v>
      </c>
      <c r="G50" s="25"/>
    </row>
    <row r="51" spans="1:7" ht="45">
      <c r="A51" s="308"/>
      <c r="B51" s="160">
        <v>6.01</v>
      </c>
      <c r="C51" s="149" t="s">
        <v>13129</v>
      </c>
      <c r="D51" s="161">
        <v>43970</v>
      </c>
      <c r="E51" s="169" t="s">
        <v>15485</v>
      </c>
      <c r="F51" s="169" t="s">
        <v>13810</v>
      </c>
      <c r="G51" s="25"/>
    </row>
    <row r="52" spans="1:7" ht="45">
      <c r="A52" s="308"/>
      <c r="B52" s="160">
        <v>6.1</v>
      </c>
      <c r="C52" s="149" t="s">
        <v>13129</v>
      </c>
      <c r="D52" s="161">
        <v>44314</v>
      </c>
      <c r="E52" s="169" t="s">
        <v>15477</v>
      </c>
      <c r="F52" s="169" t="s">
        <v>15015</v>
      </c>
      <c r="G52" s="25"/>
    </row>
    <row r="53" spans="1:7" ht="45">
      <c r="A53" s="308"/>
      <c r="B53" s="160">
        <v>6.2</v>
      </c>
      <c r="C53" s="149" t="s">
        <v>13129</v>
      </c>
      <c r="D53" s="161">
        <v>44678</v>
      </c>
      <c r="E53" s="169" t="s">
        <v>15477</v>
      </c>
      <c r="F53" s="169" t="s">
        <v>15476</v>
      </c>
      <c r="G53" s="25"/>
    </row>
    <row r="54" spans="1:7" ht="45">
      <c r="A54" s="308"/>
      <c r="B54" s="160">
        <v>6.21</v>
      </c>
      <c r="C54" s="149" t="s">
        <v>13129</v>
      </c>
      <c r="D54" s="161">
        <v>44687</v>
      </c>
      <c r="E54" s="169" t="s">
        <v>15486</v>
      </c>
      <c r="F54" s="169" t="s">
        <v>15476</v>
      </c>
      <c r="G54" s="25"/>
    </row>
    <row r="55" spans="1:7" ht="45">
      <c r="A55" s="308"/>
      <c r="B55" s="160">
        <v>6.22</v>
      </c>
      <c r="C55" s="149" t="s">
        <v>13129</v>
      </c>
      <c r="D55" s="275">
        <v>44692</v>
      </c>
      <c r="E55" s="169" t="s">
        <v>15485</v>
      </c>
      <c r="F55" s="169" t="s">
        <v>15476</v>
      </c>
      <c r="G55" s="25"/>
    </row>
    <row r="56" spans="1:7" ht="56.25">
      <c r="A56" s="308"/>
      <c r="B56" s="202">
        <v>6.3</v>
      </c>
      <c r="C56" s="149" t="s">
        <v>13129</v>
      </c>
      <c r="D56" s="275">
        <v>45051</v>
      </c>
      <c r="E56" s="169" t="s">
        <v>15753</v>
      </c>
      <c r="F56" s="169" t="s">
        <v>15534</v>
      </c>
      <c r="G56" s="25"/>
    </row>
    <row r="57" spans="1:7" ht="45">
      <c r="A57" s="308"/>
      <c r="B57" s="160">
        <v>6.31</v>
      </c>
      <c r="C57" s="149" t="s">
        <v>13129</v>
      </c>
      <c r="D57" s="275">
        <v>45072</v>
      </c>
      <c r="E57" s="169" t="s">
        <v>15755</v>
      </c>
      <c r="F57" s="169" t="s">
        <v>15534</v>
      </c>
      <c r="G57" s="25"/>
    </row>
    <row r="58" spans="1:7" ht="44.45" customHeight="1">
      <c r="A58" s="308"/>
      <c r="B58" s="202">
        <v>6.4</v>
      </c>
      <c r="C58" s="149" t="s">
        <v>13129</v>
      </c>
      <c r="D58" s="275">
        <v>45408</v>
      </c>
      <c r="E58" s="169" t="s">
        <v>15757</v>
      </c>
      <c r="F58" s="169" t="s">
        <v>15756</v>
      </c>
      <c r="G58" s="25"/>
    </row>
    <row r="59" spans="1:7" ht="13.5" thickBot="1">
      <c r="A59" s="309"/>
      <c r="B59" s="310" t="str">
        <f ca="1">OFFSET(L!$C$1,MATCH("General"&amp;"Cpy",L!$A:$A,0)-1,SL,,)</f>
        <v>© 2024 Responsible Minerals Initiative. All rights reserved.</v>
      </c>
      <c r="C59" s="310"/>
      <c r="D59" s="310"/>
      <c r="E59" s="310"/>
      <c r="F59" s="310"/>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174BFED0-329E-42E3-AC07-86ED32EF16DF}"/>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195759CE-1294-4358-8866-58ACF1A05BE5}"/>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G79" sqref="G79:J7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15855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490</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15856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15857</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15860</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15861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15859</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15860</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15861</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45411</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484</v>
      </c>
      <c r="E39" s="327"/>
      <c r="F39" s="47"/>
      <c r="G39" s="328" t="s">
        <v>15863</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485</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484</v>
      </c>
      <c r="E45" s="327"/>
      <c r="F45" s="47"/>
      <c r="G45" s="328" t="s">
        <v>15863</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485</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28" t="s">
        <v>15864</v>
      </c>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485</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15865</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15865</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484</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54" t="s">
        <v>15866</v>
      </c>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484</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Yes</v>
      </c>
    </row>
    <row r="101" spans="2:7" ht="15.75" hidden="1">
      <c r="B101" s="236" t="s">
        <v>2464</v>
      </c>
      <c r="D101" s="282" t="str">
        <f>IF(AND(OR($D$27="Yes",$D$27=""),OR($D$33="Yes",$D$33="")),"Unknown","")</f>
        <v>Unknown</v>
      </c>
      <c r="E101" s="282" t="str">
        <f>IF(AND(OR($D$26="Yes",$D$26=""),OR($D$32="Yes",$D$32="")),"None","")</f>
        <v/>
      </c>
      <c r="G101" s="282" t="str">
        <f>IF(OR($D$28="Yes",$D$28=""),"No","")</f>
        <v>No</v>
      </c>
    </row>
    <row r="102" spans="2:7" ht="15.75" hidden="1">
      <c r="B102" s="236" t="s">
        <v>2465</v>
      </c>
      <c r="D102" s="282" t="str">
        <f>IF(AND(OR($D$28="Yes",$D$28=""),OR($D$34="Yes",$D$34="")),"Yes","")</f>
        <v>Yes</v>
      </c>
      <c r="E102" s="282" t="str">
        <f>IF(AND(OR($D$27="Yes",$D$27=""),OR($D$33="Yes",$D$33="")),"100%","")</f>
        <v>100%</v>
      </c>
      <c r="G102" s="282" t="str">
        <f>IF(OR($D$29="Yes",$D$29=""),"Yes","")</f>
        <v/>
      </c>
    </row>
    <row r="103" spans="2:7" ht="15.75" hidden="1">
      <c r="B103" s="236" t="s">
        <v>2466</v>
      </c>
      <c r="D103" s="282" t="str">
        <f>IF(AND(OR($D$28="Yes",$D$28=""),OR($D$34="Yes",$D$34="")),"No","")</f>
        <v>No</v>
      </c>
      <c r="E103" s="282" t="str">
        <f>IF(AND(OR($D$27="Yes",$D$27=""),OR($D$33="Yes",$D$33="")),"Greater than 90%","")</f>
        <v>Greater than 90%</v>
      </c>
      <c r="G103" s="282" t="str">
        <f>IF(OR($D$29="Yes",$D$29=""),"No","")</f>
        <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8ED6ED52-1482-4326-A468-33D58F7A1525}"/>
    <hyperlink ref="D20" r:id="rId4" xr:uid="{F61A7FBF-0BF3-4BE7-941D-ABBD8D1EAA19}"/>
    <hyperlink ref="G77" r:id="rId5" xr:uid="{8B2981AD-C596-4903-A0EE-F3A37F71C607}"/>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 zoomScaleNormal="100" zoomScalePageLayoutView="55" workbookViewId="0">
      <selection activeCell="C13" sqref="C13"/>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761</v>
      </c>
      <c r="B5" s="182" t="s">
        <v>1120</v>
      </c>
      <c r="C5" s="186" t="s">
        <v>805</v>
      </c>
      <c r="D5" s="230" t="s">
        <v>805</v>
      </c>
      <c r="E5" s="182" t="s">
        <v>872</v>
      </c>
      <c r="F5" s="182" t="s">
        <v>761</v>
      </c>
      <c r="G5" s="182" t="s">
        <v>13217</v>
      </c>
      <c r="H5" s="183">
        <v>0</v>
      </c>
      <c r="I5" s="184" t="s">
        <v>1757</v>
      </c>
      <c r="J5" s="184" t="s">
        <v>9479</v>
      </c>
      <c r="K5" s="224" t="s">
        <v>15867</v>
      </c>
      <c r="L5" s="224" t="s">
        <v>15868</v>
      </c>
      <c r="M5" s="224"/>
      <c r="N5" s="224" t="s">
        <v>15869</v>
      </c>
      <c r="O5" s="224" t="s">
        <v>15869</v>
      </c>
      <c r="P5" s="185" t="s">
        <v>484</v>
      </c>
      <c r="Q5" s="225"/>
      <c r="R5" s="182" t="str">
        <f ca="1">IF(ISERROR($V5),"",OFFSET('Smelter Look-up'!$C$4,$V5-4,0)&amp;"")</f>
        <v>Fenix Metals</v>
      </c>
      <c r="S5" s="181" t="str">
        <f ca="1">IF(B5="","",IF(ISERROR(MATCH($E5,CL,0)),"Unknown",INDIRECT("'C'!$A$"&amp;MATCH($E5,CL,0)+1)))</f>
        <v>PL</v>
      </c>
      <c r="T5" s="181" t="str">
        <f ca="1">IF(B5="","",IF(ISERROR(MATCH($J5,SorP!$B$1:$B$6226,0)),"",INDIRECT("'SorP'!$A$"&amp;MATCH($S5&amp;$J5,SorP!C:C,0))))</f>
        <v>PL-18</v>
      </c>
      <c r="U5" s="201"/>
      <c r="V5" s="226">
        <f>IF(C5="",NA(),IF(OR(C5="Smelter not listed",C5="Smelter not yet identified"),MATCH($B5&amp;$D5,'Smelter Look-up'!$J:$J,0),MATCH($B5&amp;$C5,'Smelter Look-up'!$J:$J,0)))</f>
        <v>442</v>
      </c>
      <c r="X5" s="227">
        <f t="shared" ref="X5" si="0">IF(AND(C5="Smelter not listed",OR(LEN(D5)=0,LEN(E5)=0)),1,0)</f>
        <v>0</v>
      </c>
      <c r="AB5" s="228" t="str">
        <f t="shared" ref="AB5" si="1">B5&amp;C5</f>
        <v>TinFenix Metals</v>
      </c>
    </row>
    <row r="6" spans="1:34" s="227" customFormat="1" ht="20.100000000000001" customHeight="1">
      <c r="A6" s="262" t="s">
        <v>774</v>
      </c>
      <c r="B6" s="182" t="s">
        <v>1120</v>
      </c>
      <c r="C6" s="186" t="s">
        <v>623</v>
      </c>
      <c r="D6" s="230" t="s">
        <v>623</v>
      </c>
      <c r="E6" s="182" t="s">
        <v>1095</v>
      </c>
      <c r="F6" s="182" t="s">
        <v>774</v>
      </c>
      <c r="G6" s="182" t="s">
        <v>13217</v>
      </c>
      <c r="H6" s="183">
        <v>0</v>
      </c>
      <c r="I6" s="184" t="s">
        <v>1753</v>
      </c>
      <c r="J6" s="184" t="s">
        <v>12830</v>
      </c>
      <c r="K6" s="224"/>
      <c r="L6" s="224"/>
      <c r="M6" s="224"/>
      <c r="N6" s="224"/>
      <c r="O6" s="224"/>
      <c r="P6" s="185" t="s">
        <v>485</v>
      </c>
      <c r="Q6" s="225"/>
      <c r="R6" s="182" t="str">
        <f ca="1">IF(ISERROR($V6),"",OFFSET('Smelter Look-up'!$C$4,$V6-4,0)&amp;"")</f>
        <v>PT Mitra Stania Prima</v>
      </c>
      <c r="S6" s="181" t="str">
        <f t="shared" ref="S6:S37" ca="1" si="2">IF(B6="","",IF(ISERROR(MATCH($E6,CL,0)),"Unknown",INDIRECT("'C'!$A$"&amp;MATCH($E6,CL,0)+1)))</f>
        <v>ID</v>
      </c>
      <c r="T6" s="181" t="str">
        <f ca="1">IF(B6="","",IF(ISERROR(MATCH($J6,SorP!$B$1:$B$6226,0)),"",INDIRECT("'SorP'!$A$"&amp;MATCH($S6&amp;$J6,SorP!C:C,0))))</f>
        <v>ID-BB</v>
      </c>
      <c r="U6" s="201"/>
      <c r="V6" s="226">
        <f>IF(C6="",NA(),IF(OR(C6="Smelter not listed",C6="Smelter not yet identified"),MATCH($B6&amp;$D6,'Smelter Look-up'!$J:$J,0),MATCH($B6&amp;$C6,'Smelter Look-up'!$J:$J,0)))</f>
        <v>518</v>
      </c>
      <c r="X6" s="227">
        <f t="shared" ref="X6:X37" si="3">IF(AND(C6="Smelter not listed",OR(LEN(D6)=0,LEN(E6)=0)),1,0)</f>
        <v>0</v>
      </c>
      <c r="AB6" s="228" t="str">
        <f t="shared" ref="AB6:AB37" si="4">B6&amp;C6</f>
        <v>TinPT Mitra Stania Prima</v>
      </c>
    </row>
    <row r="7" spans="1:34" s="227" customFormat="1" ht="20.100000000000001" customHeight="1">
      <c r="A7" s="262" t="s">
        <v>15078</v>
      </c>
      <c r="B7" s="182" t="s">
        <v>1120</v>
      </c>
      <c r="C7" s="186" t="s">
        <v>15077</v>
      </c>
      <c r="D7" s="230" t="s">
        <v>15077</v>
      </c>
      <c r="E7" s="182" t="s">
        <v>1095</v>
      </c>
      <c r="F7" s="182" t="s">
        <v>15078</v>
      </c>
      <c r="G7" s="182" t="s">
        <v>13217</v>
      </c>
      <c r="H7" s="183">
        <v>0</v>
      </c>
      <c r="I7" s="184" t="s">
        <v>15114</v>
      </c>
      <c r="J7" s="184" t="s">
        <v>12830</v>
      </c>
      <c r="K7" s="224"/>
      <c r="L7" s="224"/>
      <c r="M7" s="224"/>
      <c r="N7" s="224"/>
      <c r="O7" s="224"/>
      <c r="P7" s="185" t="s">
        <v>485</v>
      </c>
      <c r="Q7" s="225"/>
      <c r="R7" s="182" t="str">
        <f ca="1">IF(ISERROR($V7),"",OFFSET('Smelter Look-up'!$C$4,$V7-4,0)&amp;"")</f>
        <v>PT Menara Cipta Mulia</v>
      </c>
      <c r="S7" s="181" t="str">
        <f t="shared" ca="1" si="2"/>
        <v>ID</v>
      </c>
      <c r="T7" s="181" t="str">
        <f ca="1">IF(B7="","",IF(ISERROR(MATCH($J7,SorP!$B$1:$B$6226,0)),"",INDIRECT("'SorP'!$A$"&amp;MATCH($S7&amp;$J7,SorP!C:C,0))))</f>
        <v>ID-BB</v>
      </c>
      <c r="U7" s="201"/>
      <c r="V7" s="226">
        <f>IF(C7="",NA(),IF(OR(C7="Smelter not listed",C7="Smelter not yet identified"),MATCH($B7&amp;$D7,'Smelter Look-up'!$J:$J,0),MATCH($B7&amp;$C7,'Smelter Look-up'!$J:$J,0)))</f>
        <v>516</v>
      </c>
      <c r="X7" s="227">
        <f t="shared" si="3"/>
        <v>0</v>
      </c>
      <c r="AB7" s="228" t="str">
        <f t="shared" si="4"/>
        <v>TinPT Menara Cipta Mulia</v>
      </c>
    </row>
    <row r="8" spans="1:34" s="227" customFormat="1" ht="20.100000000000001" customHeight="1">
      <c r="A8" s="262" t="s">
        <v>759</v>
      </c>
      <c r="B8" s="182" t="s">
        <v>1120</v>
      </c>
      <c r="C8" s="186" t="s">
        <v>832</v>
      </c>
      <c r="D8" s="230" t="s">
        <v>832</v>
      </c>
      <c r="E8" s="182" t="s">
        <v>2413</v>
      </c>
      <c r="F8" s="182" t="s">
        <v>759</v>
      </c>
      <c r="G8" s="182" t="s">
        <v>13217</v>
      </c>
      <c r="H8" s="183">
        <v>0</v>
      </c>
      <c r="I8" s="184" t="s">
        <v>1755</v>
      </c>
      <c r="J8" s="184" t="s">
        <v>1755</v>
      </c>
      <c r="K8" s="224" t="s">
        <v>15870</v>
      </c>
      <c r="L8" s="224" t="s">
        <v>15871</v>
      </c>
      <c r="M8" s="224" t="s">
        <v>15872</v>
      </c>
      <c r="N8" s="224" t="s">
        <v>15873</v>
      </c>
      <c r="O8" s="224" t="s">
        <v>15874</v>
      </c>
      <c r="P8" s="185" t="s">
        <v>485</v>
      </c>
      <c r="Q8" s="225"/>
      <c r="R8" s="182" t="str">
        <f ca="1">IF(ISERROR($V8),"",OFFSET('Smelter Look-up'!$C$4,$V8-4,0)&amp;"")</f>
        <v>EM Vinto</v>
      </c>
      <c r="S8" s="181" t="str">
        <f t="shared" ca="1" si="2"/>
        <v>BO</v>
      </c>
      <c r="T8" s="181" t="str">
        <f ca="1">IF(B8="","",IF(ISERROR(MATCH($J8,SorP!$B$1:$B$6226,0)),"",INDIRECT("'SorP'!$A$"&amp;MATCH($S8&amp;$J8,SorP!C:C,0))))</f>
        <v>BO-O</v>
      </c>
      <c r="U8" s="201"/>
      <c r="V8" s="226">
        <f>IF(C8="",NA(),IF(OR(C8="Smelter not listed",C8="Smelter not yet identified"),MATCH($B8&amp;$D8,'Smelter Look-up'!$J:$J,0),MATCH($B8&amp;$C8,'Smelter Look-up'!$J:$J,0)))</f>
        <v>433</v>
      </c>
      <c r="X8" s="227">
        <f t="shared" si="3"/>
        <v>0</v>
      </c>
      <c r="AB8" s="228" t="str">
        <f t="shared" si="4"/>
        <v>TinEM Vinto</v>
      </c>
    </row>
    <row r="9" spans="1:34" s="227" customFormat="1" ht="20.100000000000001" customHeight="1">
      <c r="A9" s="262" t="s">
        <v>768</v>
      </c>
      <c r="B9" s="182" t="s">
        <v>1120</v>
      </c>
      <c r="C9" s="186" t="s">
        <v>1024</v>
      </c>
      <c r="D9" s="230" t="s">
        <v>1024</v>
      </c>
      <c r="E9" s="182" t="s">
        <v>870</v>
      </c>
      <c r="F9" s="182" t="s">
        <v>768</v>
      </c>
      <c r="G9" s="182" t="s">
        <v>13217</v>
      </c>
      <c r="H9" s="183">
        <v>0</v>
      </c>
      <c r="I9" s="184" t="s">
        <v>1771</v>
      </c>
      <c r="J9" s="184" t="s">
        <v>9093</v>
      </c>
      <c r="K9" s="224" t="s">
        <v>15875</v>
      </c>
      <c r="L9" s="224" t="s">
        <v>15876</v>
      </c>
      <c r="M9" s="224" t="s">
        <v>15872</v>
      </c>
      <c r="N9" s="224" t="s">
        <v>15877</v>
      </c>
      <c r="O9" s="224" t="s">
        <v>15878</v>
      </c>
      <c r="P9" s="185" t="s">
        <v>485</v>
      </c>
      <c r="Q9" s="225"/>
      <c r="R9" s="182" t="str">
        <f ca="1">IF(ISERROR($V9),"",OFFSET('Smelter Look-up'!$C$4,$V9-4,0)&amp;"")</f>
        <v>Minsur</v>
      </c>
      <c r="S9" s="181" t="str">
        <f t="shared" ca="1" si="2"/>
        <v>PE</v>
      </c>
      <c r="T9" s="181" t="str">
        <f ca="1">IF(B9="","",IF(ISERROR(MATCH($J9,SorP!$B$1:$B$6226,0)),"",INDIRECT("'SorP'!$A$"&amp;MATCH($S9&amp;$J9,SorP!C:C,0))))</f>
        <v>PE-ICA</v>
      </c>
      <c r="U9" s="201"/>
      <c r="V9" s="226">
        <f>IF(C9="",NA(),IF(OR(C9="Smelter not listed",C9="Smelter not yet identified"),MATCH($B9&amp;$D9,'Smelter Look-up'!$J:$J,0),MATCH($B9&amp;$C9,'Smelter Look-up'!$J:$J,0)))</f>
        <v>487</v>
      </c>
      <c r="X9" s="227">
        <f t="shared" si="3"/>
        <v>0</v>
      </c>
      <c r="AB9" s="228" t="str">
        <f t="shared" si="4"/>
        <v>TinMinsur</v>
      </c>
    </row>
    <row r="10" spans="1:34" s="227" customFormat="1" ht="20.100000000000001" customHeight="1">
      <c r="A10" s="262" t="s">
        <v>772</v>
      </c>
      <c r="B10" s="182" t="s">
        <v>1120</v>
      </c>
      <c r="C10" s="186" t="s">
        <v>13780</v>
      </c>
      <c r="D10" s="230" t="s">
        <v>13780</v>
      </c>
      <c r="E10" s="182" t="s">
        <v>2413</v>
      </c>
      <c r="F10" s="182" t="s">
        <v>772</v>
      </c>
      <c r="G10" s="182" t="s">
        <v>13217</v>
      </c>
      <c r="H10" s="183">
        <v>0</v>
      </c>
      <c r="I10" s="184" t="s">
        <v>1755</v>
      </c>
      <c r="J10" s="184" t="s">
        <v>1755</v>
      </c>
      <c r="K10" s="224" t="s">
        <v>15879</v>
      </c>
      <c r="L10" s="224" t="s">
        <v>15880</v>
      </c>
      <c r="M10" s="224" t="s">
        <v>15872</v>
      </c>
      <c r="N10" s="224" t="s">
        <v>15881</v>
      </c>
      <c r="O10" s="224" t="s">
        <v>15882</v>
      </c>
      <c r="P10" s="185" t="s">
        <v>485</v>
      </c>
      <c r="Q10" s="225"/>
      <c r="R10" s="182" t="str">
        <f ca="1">IF(ISERROR($V10),"",OFFSET('Smelter Look-up'!$C$4,$V10-4,0)&amp;"")</f>
        <v>Operaciones Metalurgicas S.A.</v>
      </c>
      <c r="S10" s="181" t="str">
        <f t="shared" ca="1" si="2"/>
        <v>BO</v>
      </c>
      <c r="T10" s="181" t="str">
        <f ca="1">IF(B10="","",IF(ISERROR(MATCH($J10,SorP!$B$1:$B$6226,0)),"",INDIRECT("'SorP'!$A$"&amp;MATCH($S10&amp;$J10,SorP!C:C,0))))</f>
        <v>BO-O</v>
      </c>
      <c r="U10" s="201"/>
      <c r="V10" s="226">
        <f>IF(C10="",NA(),IF(OR(C10="Smelter not listed",C10="Smelter not yet identified"),MATCH($B10&amp;$D10,'Smelter Look-up'!$J:$J,0),MATCH($B10&amp;$C10,'Smelter Look-up'!$J:$J,0)))</f>
        <v>499</v>
      </c>
      <c r="X10" s="227">
        <f t="shared" si="3"/>
        <v>0</v>
      </c>
      <c r="AB10" s="228" t="str">
        <f t="shared" si="4"/>
        <v>TinOperaciones Metalurgicas S.A.</v>
      </c>
    </row>
    <row r="11" spans="1:34" s="227" customFormat="1" ht="20.100000000000001" customHeight="1">
      <c r="A11" s="262" t="s">
        <v>765</v>
      </c>
      <c r="B11" s="182" t="s">
        <v>1120</v>
      </c>
      <c r="C11" s="186" t="s">
        <v>1315</v>
      </c>
      <c r="D11" s="230" t="s">
        <v>1315</v>
      </c>
      <c r="E11" s="182" t="s">
        <v>1090</v>
      </c>
      <c r="F11" s="182" t="s">
        <v>765</v>
      </c>
      <c r="G11" s="182" t="s">
        <v>13217</v>
      </c>
      <c r="H11" s="183">
        <v>0</v>
      </c>
      <c r="I11" s="184" t="s">
        <v>1761</v>
      </c>
      <c r="J11" s="184" t="s">
        <v>13580</v>
      </c>
      <c r="K11" s="224" t="s">
        <v>15883</v>
      </c>
      <c r="L11" s="224" t="s">
        <v>15884</v>
      </c>
      <c r="M11" s="224" t="s">
        <v>15885</v>
      </c>
      <c r="N11" s="224" t="s">
        <v>15886</v>
      </c>
      <c r="O11" s="224" t="s">
        <v>15887</v>
      </c>
      <c r="P11" s="185" t="s">
        <v>485</v>
      </c>
      <c r="Q11" s="225"/>
      <c r="R11" s="182" t="str">
        <f ca="1">IF(ISERROR($V11),"",OFFSET('Smelter Look-up'!$C$4,$V11-4,0)&amp;"")</f>
        <v>China Tin Group Co., Ltd.</v>
      </c>
      <c r="S11" s="181" t="str">
        <f t="shared" ca="1" si="2"/>
        <v>CN</v>
      </c>
      <c r="T11" s="181" t="str">
        <f ca="1">IF(B11="","",IF(ISERROR(MATCH($J11,SorP!$B$1:$B$6226,0)),"",INDIRECT("'SorP'!$A$"&amp;MATCH($S11&amp;$J11,SorP!C:C,0))))</f>
        <v>CN-GX</v>
      </c>
      <c r="U11" s="201"/>
      <c r="V11" s="226">
        <f>IF(C11="",NA(),IF(OR(C11="Smelter not listed",C11="Smelter not yet identified"),MATCH($B11&amp;$D11,'Smelter Look-up'!$J:$J,0),MATCH($B11&amp;$C11,'Smelter Look-up'!$J:$J,0)))</f>
        <v>414</v>
      </c>
      <c r="X11" s="227">
        <f t="shared" si="3"/>
        <v>0</v>
      </c>
      <c r="AB11" s="228" t="str">
        <f t="shared" si="4"/>
        <v>TinChina Tin Group Co., Ltd.</v>
      </c>
    </row>
    <row r="12" spans="1:34" s="227" customFormat="1" ht="20.100000000000001" customHeight="1">
      <c r="A12" s="262" t="s">
        <v>776</v>
      </c>
      <c r="B12" s="182" t="s">
        <v>1120</v>
      </c>
      <c r="C12" s="186" t="s">
        <v>13778</v>
      </c>
      <c r="D12" s="230" t="s">
        <v>13778</v>
      </c>
      <c r="E12" s="182" t="s">
        <v>1095</v>
      </c>
      <c r="F12" s="182" t="s">
        <v>776</v>
      </c>
      <c r="G12" s="182" t="s">
        <v>13217</v>
      </c>
      <c r="H12" s="183">
        <v>0</v>
      </c>
      <c r="I12" s="184" t="s">
        <v>1780</v>
      </c>
      <c r="J12" s="184" t="s">
        <v>12830</v>
      </c>
      <c r="K12" s="224"/>
      <c r="L12" s="224"/>
      <c r="M12" s="224" t="s">
        <v>15872</v>
      </c>
      <c r="N12" s="224" t="s">
        <v>15888</v>
      </c>
      <c r="O12" s="224" t="s">
        <v>15889</v>
      </c>
      <c r="P12" s="185" t="s">
        <v>485</v>
      </c>
      <c r="Q12" s="225"/>
      <c r="R12" s="182" t="str">
        <f ca="1">IF(ISERROR($V12),"",OFFSET('Smelter Look-up'!$C$4,$V12-4,0)&amp;"")</f>
        <v>PT Timah Tbk Mentok</v>
      </c>
      <c r="S12" s="181" t="str">
        <f t="shared" ca="1" si="2"/>
        <v>ID</v>
      </c>
      <c r="T12" s="181" t="str">
        <f ca="1">IF(B12="","",IF(ISERROR(MATCH($J12,SorP!$B$1:$B$6226,0)),"",INDIRECT("'SorP'!$A$"&amp;MATCH($S12&amp;$J12,SorP!C:C,0))))</f>
        <v>ID-BB</v>
      </c>
      <c r="U12" s="201"/>
      <c r="V12" s="226">
        <f>IF(C12="",NA(),IF(OR(C12="Smelter not listed",C12="Smelter not yet identified"),MATCH($B12&amp;$D12,'Smelter Look-up'!$J:$J,0),MATCH($B12&amp;$C12,'Smelter Look-up'!$J:$J,0)))</f>
        <v>533</v>
      </c>
      <c r="X12" s="227">
        <f t="shared" si="3"/>
        <v>0</v>
      </c>
      <c r="AB12" s="228" t="str">
        <f t="shared" si="4"/>
        <v>TinPT Timah Tbk Mentok</v>
      </c>
    </row>
    <row r="13" spans="1:34" s="227" customFormat="1" ht="20.100000000000001" customHeight="1">
      <c r="A13" s="262" t="s">
        <v>766</v>
      </c>
      <c r="B13" s="182" t="s">
        <v>1120</v>
      </c>
      <c r="C13" s="186" t="s">
        <v>811</v>
      </c>
      <c r="D13" s="230" t="s">
        <v>811</v>
      </c>
      <c r="E13" s="182" t="s">
        <v>1105</v>
      </c>
      <c r="F13" s="182" t="s">
        <v>766</v>
      </c>
      <c r="G13" s="182" t="s">
        <v>13217</v>
      </c>
      <c r="H13" s="183" t="s">
        <v>15890</v>
      </c>
      <c r="I13" s="184" t="s">
        <v>1766</v>
      </c>
      <c r="J13" s="184" t="s">
        <v>8666</v>
      </c>
      <c r="K13" s="224" t="s">
        <v>15891</v>
      </c>
      <c r="L13" s="224" t="s">
        <v>15892</v>
      </c>
      <c r="M13" s="224"/>
      <c r="N13" s="224" t="s">
        <v>15893</v>
      </c>
      <c r="O13" s="224" t="s">
        <v>15894</v>
      </c>
      <c r="P13" s="185" t="s">
        <v>485</v>
      </c>
      <c r="Q13" s="225"/>
      <c r="R13" s="182" t="str">
        <f ca="1">IF(ISERROR($V13),"",OFFSET('Smelter Look-up'!$C$4,$V13-4,0)&amp;"")</f>
        <v>Malaysia Smelting Corporation (MSC)</v>
      </c>
      <c r="S13" s="181" t="str">
        <f t="shared" ca="1" si="2"/>
        <v>MY</v>
      </c>
      <c r="T13" s="181" t="str">
        <f ca="1">IF(B13="","",IF(ISERROR(MATCH($J13,SorP!$B$1:$B$6226,0)),"",INDIRECT("'SorP'!$A$"&amp;MATCH($S13&amp;$J13,SorP!C:C,0))))</f>
        <v>MY-07</v>
      </c>
      <c r="U13" s="201"/>
      <c r="V13" s="226">
        <f>IF(C13="",NA(),IF(OR(C13="Smelter not listed",C13="Smelter not yet identified"),MATCH($B13&amp;$D13,'Smelter Look-up'!$J:$J,0),MATCH($B13&amp;$C13,'Smelter Look-up'!$J:$J,0)))</f>
        <v>474</v>
      </c>
      <c r="X13" s="227">
        <f t="shared" si="3"/>
        <v>0</v>
      </c>
      <c r="AB13" s="228" t="str">
        <f t="shared" si="4"/>
        <v>TinMalaysia Smelting Corporation (MSC)</v>
      </c>
    </row>
    <row r="14" spans="1:34" s="227" customFormat="1" ht="20.100000000000001" customHeight="1">
      <c r="A14" s="262" t="s">
        <v>1801</v>
      </c>
      <c r="B14" s="182" t="s">
        <v>1120</v>
      </c>
      <c r="C14" s="186" t="s">
        <v>12910</v>
      </c>
      <c r="D14" s="230" t="s">
        <v>12910</v>
      </c>
      <c r="E14" s="182" t="s">
        <v>1085</v>
      </c>
      <c r="F14" s="182" t="s">
        <v>1801</v>
      </c>
      <c r="G14" s="182" t="s">
        <v>13217</v>
      </c>
      <c r="H14" s="183">
        <v>0</v>
      </c>
      <c r="I14" s="184" t="s">
        <v>1802</v>
      </c>
      <c r="J14" s="184" t="s">
        <v>3135</v>
      </c>
      <c r="K14" s="224" t="s">
        <v>15895</v>
      </c>
      <c r="L14" s="224" t="s">
        <v>15896</v>
      </c>
      <c r="M14" s="224"/>
      <c r="N14" s="224" t="s">
        <v>15897</v>
      </c>
      <c r="O14" s="224" t="s">
        <v>15897</v>
      </c>
      <c r="P14" s="185" t="s">
        <v>485</v>
      </c>
      <c r="Q14" s="225"/>
      <c r="R14" s="182" t="str">
        <f ca="1">IF(ISERROR($V14),"",OFFSET('Smelter Look-up'!$C$4,$V14-4,0)&amp;"")</f>
        <v>Aurubis Beerse</v>
      </c>
      <c r="S14" s="181" t="str">
        <f t="shared" ca="1" si="2"/>
        <v>BE</v>
      </c>
      <c r="T14" s="181" t="str">
        <f ca="1">IF(B14="","",IF(ISERROR(MATCH($J14,SorP!$B$1:$B$6226,0)),"",INDIRECT("'SorP'!$A$"&amp;MATCH($S14&amp;$J14,SorP!C:C,0))))</f>
        <v>BE-VAN</v>
      </c>
      <c r="U14" s="201"/>
      <c r="V14" s="226">
        <f>IF(C14="",NA(),IF(OR(C14="Smelter not listed",C14="Smelter not yet identified"),MATCH($B14&amp;$D14,'Smelter Look-up'!$J:$J,0),MATCH($B14&amp;$C14,'Smelter Look-up'!$J:$J,0)))</f>
        <v>480</v>
      </c>
      <c r="X14" s="227">
        <f t="shared" si="3"/>
        <v>0</v>
      </c>
      <c r="AB14" s="228" t="str">
        <f t="shared" si="4"/>
        <v>TinMetallo Belgium N.V.</v>
      </c>
    </row>
    <row r="15" spans="1:34" s="227" customFormat="1" ht="20.100000000000001" customHeight="1">
      <c r="A15" s="262" t="s">
        <v>1803</v>
      </c>
      <c r="B15" s="182" t="s">
        <v>1120</v>
      </c>
      <c r="C15" s="186" t="s">
        <v>12911</v>
      </c>
      <c r="D15" s="230" t="s">
        <v>12911</v>
      </c>
      <c r="E15" s="182" t="s">
        <v>1092</v>
      </c>
      <c r="F15" s="182" t="s">
        <v>1803</v>
      </c>
      <c r="G15" s="182" t="s">
        <v>13217</v>
      </c>
      <c r="H15" s="183">
        <v>0</v>
      </c>
      <c r="I15" s="184" t="s">
        <v>1804</v>
      </c>
      <c r="J15" s="184" t="s">
        <v>12390</v>
      </c>
      <c r="K15" s="224" t="s">
        <v>15895</v>
      </c>
      <c r="L15" s="224" t="s">
        <v>15896</v>
      </c>
      <c r="M15" s="224"/>
      <c r="N15" s="224" t="s">
        <v>15897</v>
      </c>
      <c r="O15" s="224" t="s">
        <v>15897</v>
      </c>
      <c r="P15" s="185" t="s">
        <v>485</v>
      </c>
      <c r="Q15" s="225"/>
      <c r="R15" s="182" t="str">
        <f ca="1">IF(ISERROR($V15),"",OFFSET('Smelter Look-up'!$C$4,$V15-4,0)&amp;"")</f>
        <v>Aurubis Berango</v>
      </c>
      <c r="S15" s="181" t="str">
        <f t="shared" ca="1" si="2"/>
        <v>ES</v>
      </c>
      <c r="T15" s="181" t="str">
        <f ca="1">IF(B15="","",IF(ISERROR(MATCH($J15,SorP!$B$1:$B$6226,0)),"",INDIRECT("'SorP'!$A$"&amp;MATCH($S15&amp;$J15,SorP!C:C,0))))</f>
        <v>ES-BI</v>
      </c>
      <c r="U15" s="201"/>
      <c r="V15" s="226">
        <f>IF(C15="",NA(),IF(OR(C15="Smelter not listed",C15="Smelter not yet identified"),MATCH($B15&amp;$D15,'Smelter Look-up'!$J:$J,0),MATCH($B15&amp;$C15,'Smelter Look-up'!$J:$J,0)))</f>
        <v>481</v>
      </c>
      <c r="X15" s="227">
        <f t="shared" si="3"/>
        <v>0</v>
      </c>
      <c r="AB15" s="228" t="str">
        <f t="shared" si="4"/>
        <v>TinMetallo Spain S.L.U.</v>
      </c>
    </row>
    <row r="16" spans="1:34" s="227" customFormat="1" ht="20.100000000000001" customHeight="1">
      <c r="A16" s="262" t="s">
        <v>779</v>
      </c>
      <c r="B16" s="182" t="s">
        <v>1120</v>
      </c>
      <c r="C16" s="186" t="s">
        <v>1783</v>
      </c>
      <c r="D16" s="230" t="s">
        <v>1021</v>
      </c>
      <c r="E16" s="182" t="s">
        <v>878</v>
      </c>
      <c r="F16" s="182" t="s">
        <v>779</v>
      </c>
      <c r="G16" s="182" t="s">
        <v>13217</v>
      </c>
      <c r="H16" s="183" t="s">
        <v>15898</v>
      </c>
      <c r="I16" s="184" t="s">
        <v>1781</v>
      </c>
      <c r="J16" s="184" t="s">
        <v>1782</v>
      </c>
      <c r="K16" s="224" t="s">
        <v>15899</v>
      </c>
      <c r="L16" s="224" t="s">
        <v>15900</v>
      </c>
      <c r="M16" s="224"/>
      <c r="N16" s="224" t="s">
        <v>15901</v>
      </c>
      <c r="O16" s="224" t="s">
        <v>15902</v>
      </c>
      <c r="P16" s="185" t="s">
        <v>485</v>
      </c>
      <c r="Q16" s="225"/>
      <c r="R16" s="182" t="str">
        <f ca="1">IF(ISERROR($V16),"",OFFSET('Smelter Look-up'!$C$4,$V16-4,0)&amp;"")</f>
        <v>Thaisarco</v>
      </c>
      <c r="S16" s="181" t="str">
        <f t="shared" ca="1" si="2"/>
        <v>TH</v>
      </c>
      <c r="T16" s="181" t="str">
        <f ca="1">IF(B16="","",IF(ISERROR(MATCH($J16,SorP!$B$1:$B$6226,0)),"",INDIRECT("'SorP'!$A$"&amp;MATCH($S16&amp;$J16,SorP!C:C,0))))</f>
        <v>TH-83</v>
      </c>
      <c r="U16" s="201"/>
      <c r="V16" s="226">
        <f>IF(C16="",NA(),IF(OR(C16="Smelter not listed",C16="Smelter not yet identified"),MATCH($B16&amp;$D16,'Smelter Look-up'!$J:$J,0),MATCH($B16&amp;$C16,'Smelter Look-up'!$J:$J,0)))</f>
        <v>546</v>
      </c>
      <c r="X16" s="227">
        <f t="shared" si="3"/>
        <v>0</v>
      </c>
      <c r="AB16" s="228" t="str">
        <f t="shared" si="4"/>
        <v>TinThailand Smelting &amp; Refining Co Ltd</v>
      </c>
    </row>
    <row r="17" spans="1:28" s="227" customFormat="1" ht="20.100000000000001" customHeight="1">
      <c r="A17" s="262" t="s">
        <v>781</v>
      </c>
      <c r="B17" s="182" t="s">
        <v>1120</v>
      </c>
      <c r="C17" s="186" t="s">
        <v>2210</v>
      </c>
      <c r="D17" s="230" t="s">
        <v>2210</v>
      </c>
      <c r="E17" s="182" t="s">
        <v>1090</v>
      </c>
      <c r="F17" s="182" t="s">
        <v>781</v>
      </c>
      <c r="G17" s="182" t="s">
        <v>13217</v>
      </c>
      <c r="H17" s="183">
        <v>0</v>
      </c>
      <c r="I17" s="184" t="s">
        <v>2429</v>
      </c>
      <c r="J17" s="184" t="s">
        <v>13605</v>
      </c>
      <c r="K17" s="224"/>
      <c r="L17" s="224"/>
      <c r="M17" s="224"/>
      <c r="N17" s="224"/>
      <c r="O17" s="224"/>
      <c r="P17" s="185"/>
      <c r="Q17" s="225"/>
      <c r="R17" s="182" t="str">
        <f ca="1">IF(ISERROR($V17),"",OFFSET('Smelter Look-up'!$C$4,$V17-4,0)&amp;"")</f>
        <v>Yunnan Chengfeng Non-ferrous Metals Co., Ltd.</v>
      </c>
      <c r="S17" s="181" t="str">
        <f t="shared" ca="1" si="2"/>
        <v>CN</v>
      </c>
      <c r="T17" s="181" t="str">
        <f ca="1">IF(B17="","",IF(ISERROR(MATCH($J17,SorP!$B$1:$B$6226,0)),"",INDIRECT("'SorP'!$A$"&amp;MATCH($S17&amp;$J17,SorP!C:C,0))))</f>
        <v>CN-YN</v>
      </c>
      <c r="U17" s="201"/>
      <c r="V17" s="226">
        <f>IF(C17="",NA(),IF(OR(C17="Smelter not listed",C17="Smelter not yet identified"),MATCH($B17&amp;$D17,'Smelter Look-up'!$J:$J,0),MATCH($B17&amp;$C17,'Smelter Look-up'!$J:$J,0)))</f>
        <v>409</v>
      </c>
      <c r="X17" s="227">
        <f t="shared" si="3"/>
        <v>0</v>
      </c>
      <c r="AB17" s="228" t="str">
        <f t="shared" si="4"/>
        <v>TinChengfeng Metals Co Pte Ltd</v>
      </c>
    </row>
    <row r="18" spans="1:28" s="227" customFormat="1" ht="20.100000000000001" customHeight="1">
      <c r="A18" s="181" t="s">
        <v>794</v>
      </c>
      <c r="B18" s="182" t="s">
        <v>1120</v>
      </c>
      <c r="C18" s="186" t="s">
        <v>13779</v>
      </c>
      <c r="D18" s="230" t="s">
        <v>13779</v>
      </c>
      <c r="E18" s="182" t="s">
        <v>1095</v>
      </c>
      <c r="F18" s="182" t="s">
        <v>794</v>
      </c>
      <c r="G18" s="182" t="s">
        <v>13217</v>
      </c>
      <c r="H18" s="183">
        <v>0</v>
      </c>
      <c r="I18" s="184" t="s">
        <v>1778</v>
      </c>
      <c r="J18" s="184" t="s">
        <v>6047</v>
      </c>
      <c r="K18" s="224"/>
      <c r="L18" s="224"/>
      <c r="M18" s="224"/>
      <c r="N18" s="224"/>
      <c r="O18" s="224"/>
      <c r="P18" s="185" t="s">
        <v>485</v>
      </c>
      <c r="Q18" s="225"/>
      <c r="R18" s="182" t="str">
        <f ca="1">IF(ISERROR($V18),"",OFFSET('Smelter Look-up'!$C$4,$V18-4,0)&amp;"")</f>
        <v>PT Timah Tbk Kundur</v>
      </c>
      <c r="S18" s="181" t="str">
        <f t="shared" ca="1" si="2"/>
        <v>ID</v>
      </c>
      <c r="T18" s="181" t="str">
        <f ca="1">IF(B18="","",IF(ISERROR(MATCH($J18,SorP!$B$1:$B$6226,0)),"",INDIRECT("'SorP'!$A$"&amp;MATCH($S18&amp;$J18,SorP!C:C,0))))</f>
        <v>ID-RI</v>
      </c>
      <c r="U18" s="201"/>
      <c r="V18" s="226">
        <f>IF(C18="",NA(),IF(OR(C18="Smelter not listed",C18="Smelter not yet identified"),MATCH($B18&amp;$D18,'Smelter Look-up'!$J:$J,0),MATCH($B18&amp;$C18,'Smelter Look-up'!$J:$J,0)))</f>
        <v>532</v>
      </c>
      <c r="X18" s="227">
        <f t="shared" si="3"/>
        <v>0</v>
      </c>
      <c r="AB18" s="228" t="str">
        <f t="shared" si="4"/>
        <v>TinPT Timah Tbk Kundur</v>
      </c>
    </row>
    <row r="19" spans="1:28" s="227" customFormat="1" ht="51">
      <c r="A19" s="181" t="s">
        <v>15068</v>
      </c>
      <c r="B19" s="182" t="s">
        <v>1120</v>
      </c>
      <c r="C19" s="186" t="s">
        <v>15069</v>
      </c>
      <c r="D19" s="230" t="s">
        <v>15069</v>
      </c>
      <c r="E19" s="182" t="s">
        <v>1086</v>
      </c>
      <c r="F19" s="182" t="s">
        <v>15068</v>
      </c>
      <c r="G19" s="182" t="s">
        <v>13217</v>
      </c>
      <c r="H19" s="183">
        <v>0</v>
      </c>
      <c r="I19" s="184" t="s">
        <v>15110</v>
      </c>
      <c r="J19" s="184" t="s">
        <v>1666</v>
      </c>
      <c r="K19" s="224"/>
      <c r="L19" s="224"/>
      <c r="M19" s="224"/>
      <c r="N19" s="224"/>
      <c r="O19" s="224"/>
      <c r="P19" s="185"/>
      <c r="Q19" s="225"/>
      <c r="R19" s="182" t="str">
        <f ca="1">IF(ISERROR($V19),"",OFFSET('Smelter Look-up'!$C$4,$V19-4,0)&amp;"")</f>
        <v>Fabrica Auricchio Industria e Comercio Ltda.</v>
      </c>
      <c r="S19" s="181" t="str">
        <f t="shared" ca="1" si="2"/>
        <v>BR</v>
      </c>
      <c r="T19" s="181" t="str">
        <f ca="1">IF(B19="","",IF(ISERROR(MATCH($J19,SorP!$B$1:$B$6226,0)),"",INDIRECT("'SorP'!$A$"&amp;MATCH($S19&amp;$J19,SorP!C:C,0))))</f>
        <v>BR-SP</v>
      </c>
      <c r="U19" s="201"/>
      <c r="V19" s="226">
        <f>IF(C19="",NA(),IF(OR(C19="Smelter not listed",C19="Smelter not yet identified"),MATCH($B19&amp;$D19,'Smelter Look-up'!$J:$J,0),MATCH($B19&amp;$C19,'Smelter Look-up'!$J:$J,0)))</f>
        <v>440</v>
      </c>
      <c r="X19" s="227">
        <f t="shared" si="3"/>
        <v>0</v>
      </c>
      <c r="AB19" s="228" t="str">
        <f t="shared" si="4"/>
        <v>TinFábrica Auricchio</v>
      </c>
    </row>
    <row r="20" spans="1:28" s="227" customFormat="1" ht="63.75">
      <c r="A20" s="181" t="s">
        <v>702</v>
      </c>
      <c r="B20" s="182" t="s">
        <v>1119</v>
      </c>
      <c r="C20" s="186" t="s">
        <v>1217</v>
      </c>
      <c r="D20" s="230" t="s">
        <v>1217</v>
      </c>
      <c r="E20" s="182" t="s">
        <v>2415</v>
      </c>
      <c r="F20" s="182" t="s">
        <v>702</v>
      </c>
      <c r="G20" s="182" t="s">
        <v>13217</v>
      </c>
      <c r="H20" s="183">
        <v>0</v>
      </c>
      <c r="I20" s="184" t="s">
        <v>1616</v>
      </c>
      <c r="J20" s="184" t="s">
        <v>1617</v>
      </c>
      <c r="K20" s="224"/>
      <c r="L20" s="224"/>
      <c r="M20" s="224"/>
      <c r="N20" s="224"/>
      <c r="O20" s="224"/>
      <c r="P20" s="185"/>
      <c r="Q20" s="225"/>
      <c r="R20" s="182" t="str">
        <f ca="1">IF(ISERROR($V20),"",OFFSET('Smelter Look-up'!$C$4,$V20-4,0)&amp;"")</f>
        <v>Metalor USA Refining Corporation</v>
      </c>
      <c r="S20" s="181" t="str">
        <f t="shared" ca="1" si="2"/>
        <v>US</v>
      </c>
      <c r="T20" s="181" t="str">
        <f ca="1">IF(B20="","",IF(ISERROR(MATCH($J20,SorP!$B$1:$B$6226,0)),"",INDIRECT("'SorP'!$A$"&amp;MATCH($S20&amp;$J20,SorP!C:C,0))))</f>
        <v>US-MA</v>
      </c>
      <c r="U20" s="201"/>
      <c r="V20" s="226">
        <f>IF(C20="",NA(),IF(OR(C20="Smelter not listed",C20="Smelter not yet identified"),MATCH($B20&amp;$D20,'Smelter Look-up'!$J:$J,0),MATCH($B20&amp;$C20,'Smelter Look-up'!$J:$J,0)))</f>
        <v>187</v>
      </c>
      <c r="X20" s="227">
        <f t="shared" si="3"/>
        <v>0</v>
      </c>
      <c r="AB20" s="228" t="str">
        <f t="shared" si="4"/>
        <v>GoldMetalor USA Refining Corporation</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E2EB1B68-50F0-48DA-AB8C-E599EE9AFBCA}"/>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AIM METALS &amp; ALLOYS LP</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Mario Portillo</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mportillo@aimsolder.com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(+52) 6562627372</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Mario Portillo</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mportillo@aimsolder.com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45411</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http://www.aimsolder.com/environmental-conflict-metal-policies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Mario Portillo</cp:lastModifiedBy>
  <cp:lastPrinted>2015-04-21T20:47:43Z</cp:lastPrinted>
  <dcterms:created xsi:type="dcterms:W3CDTF">2010-06-21T21:00:23Z</dcterms:created>
  <dcterms:modified xsi:type="dcterms:W3CDTF">2024-04-29T21:14:54Z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